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Area" localSheetId="0">'Arkusz1'!$A$1:$E$553</definedName>
    <definedName name="_xlnm.Print_Titles" localSheetId="0">'Arkusz1'!$4:$6</definedName>
  </definedNames>
  <calcPr fullCalcOnLoad="1"/>
</workbook>
</file>

<file path=xl/sharedStrings.xml><?xml version="1.0" encoding="utf-8"?>
<sst xmlns="http://schemas.openxmlformats.org/spreadsheetml/2006/main" count="718" uniqueCount="347">
  <si>
    <t>w zł</t>
  </si>
  <si>
    <t>Dział/ rozdz.</t>
  </si>
  <si>
    <t>Treść</t>
  </si>
  <si>
    <t>Budżet Kalisza</t>
  </si>
  <si>
    <t>Miasto</t>
  </si>
  <si>
    <t>Powiat</t>
  </si>
  <si>
    <t xml:space="preserve">ZADANIA WŁASNE </t>
  </si>
  <si>
    <t>010</t>
  </si>
  <si>
    <t>Rolnictwo i łowiectwo</t>
  </si>
  <si>
    <t>01030</t>
  </si>
  <si>
    <t>Izby rolnicze</t>
  </si>
  <si>
    <t xml:space="preserve">     w tym:</t>
  </si>
  <si>
    <t xml:space="preserve">     dotacje</t>
  </si>
  <si>
    <t>01095</t>
  </si>
  <si>
    <t>Pozostała działalność</t>
  </si>
  <si>
    <t>020</t>
  </si>
  <si>
    <t>Leśnictwo</t>
  </si>
  <si>
    <t>02001</t>
  </si>
  <si>
    <t>Gospodarka leśna</t>
  </si>
  <si>
    <t xml:space="preserve">   wydatki bieżące</t>
  </si>
  <si>
    <t>02002</t>
  </si>
  <si>
    <t>Nadzór nad gospodarką leśną</t>
  </si>
  <si>
    <t>400</t>
  </si>
  <si>
    <t>Wytwarzanie i zaopatrywanie w energię elektryczną, gaz i wodę</t>
  </si>
  <si>
    <t>40001</t>
  </si>
  <si>
    <t>Dostarczanie ciepła</t>
  </si>
  <si>
    <t xml:space="preserve">   wydatki majątkowe</t>
  </si>
  <si>
    <t>600</t>
  </si>
  <si>
    <t>Transport i łączność</t>
  </si>
  <si>
    <t>60004</t>
  </si>
  <si>
    <t>Lokalny transport zbiorowy</t>
  </si>
  <si>
    <t>60015</t>
  </si>
  <si>
    <t>Drogi publiczne w miastach na prawach powiatu</t>
  </si>
  <si>
    <t xml:space="preserve">   wydatki bieżące </t>
  </si>
  <si>
    <t xml:space="preserve">       w tym:</t>
  </si>
  <si>
    <t xml:space="preserve">      wynagr. i pochodne od wynagr.</t>
  </si>
  <si>
    <t>60016</t>
  </si>
  <si>
    <t>Drogi publiczne gminne</t>
  </si>
  <si>
    <t xml:space="preserve">   wydatki majatkowe</t>
  </si>
  <si>
    <t>630</t>
  </si>
  <si>
    <t>Turystyka</t>
  </si>
  <si>
    <t>63003</t>
  </si>
  <si>
    <t>Zadania w zakresie upowszechniania turystyki</t>
  </si>
  <si>
    <t xml:space="preserve">        w tym:</t>
  </si>
  <si>
    <t>63095</t>
  </si>
  <si>
    <t>700</t>
  </si>
  <si>
    <t>Gospodarka mieszkaniowa</t>
  </si>
  <si>
    <t>70005</t>
  </si>
  <si>
    <t>Gospodarka grunatami i nieruchomościami</t>
  </si>
  <si>
    <t>70021</t>
  </si>
  <si>
    <t>Towarzystwa budownictwa społecznego</t>
  </si>
  <si>
    <t>70095</t>
  </si>
  <si>
    <t>710</t>
  </si>
  <si>
    <t>Działalność usługowa</t>
  </si>
  <si>
    <t>71004</t>
  </si>
  <si>
    <t>Plany zagospodarowania przestrzennego</t>
  </si>
  <si>
    <t>71013</t>
  </si>
  <si>
    <t>Prace geodezyjne i kartograficzne /nieinwestycyjne/</t>
  </si>
  <si>
    <t>71014</t>
  </si>
  <si>
    <t>Opracowania geodezyjne i kartograficzne</t>
  </si>
  <si>
    <t>71015</t>
  </si>
  <si>
    <t>71035</t>
  </si>
  <si>
    <t>Cmentarze</t>
  </si>
  <si>
    <t>750</t>
  </si>
  <si>
    <t>Administracja publiczna</t>
  </si>
  <si>
    <t>75011</t>
  </si>
  <si>
    <t>Urzędy wojewódzkie</t>
  </si>
  <si>
    <t xml:space="preserve">      w tym:</t>
  </si>
  <si>
    <t>75020</t>
  </si>
  <si>
    <t>Starostwa powiatowe</t>
  </si>
  <si>
    <t>75022</t>
  </si>
  <si>
    <t>Rady gmin /miast i miast na prawach powiatu/</t>
  </si>
  <si>
    <t>75023</t>
  </si>
  <si>
    <t>Urzędy gmin /miast i miast na prawach powiatu/</t>
  </si>
  <si>
    <t>75095</t>
  </si>
  <si>
    <t xml:space="preserve">       wynagr. i pochodne od wynagr.</t>
  </si>
  <si>
    <t>754</t>
  </si>
  <si>
    <t>Bezpieczeństwo publiczne i ochrona przeciwpożarowa</t>
  </si>
  <si>
    <t>75405</t>
  </si>
  <si>
    <t>Komendy powiatowe Policji</t>
  </si>
  <si>
    <t>75411</t>
  </si>
  <si>
    <t>Komendy powiatowe Państwowej</t>
  </si>
  <si>
    <t>Straży Pożarnej</t>
  </si>
  <si>
    <t>75412</t>
  </si>
  <si>
    <t>Ochotnicze straże pożarne</t>
  </si>
  <si>
    <t>75414</t>
  </si>
  <si>
    <t>Obrona cywilna</t>
  </si>
  <si>
    <t>75415</t>
  </si>
  <si>
    <t>Zadania ratownictwa górskiego i wodnego</t>
  </si>
  <si>
    <t xml:space="preserve">      dotacje</t>
  </si>
  <si>
    <t>75416</t>
  </si>
  <si>
    <t>Straż Miejska</t>
  </si>
  <si>
    <t>75478</t>
  </si>
  <si>
    <t>Usuwanie skutków klęsk żywiołowych</t>
  </si>
  <si>
    <t>75495</t>
  </si>
  <si>
    <t>756</t>
  </si>
  <si>
    <t>75647</t>
  </si>
  <si>
    <t>Pobór podatków, opłat i niepodatkowych należności budżetowych</t>
  </si>
  <si>
    <t>757</t>
  </si>
  <si>
    <t>Obsługa długu publicznego</t>
  </si>
  <si>
    <t>75702</t>
  </si>
  <si>
    <t xml:space="preserve">       wydatki na obsługę długu</t>
  </si>
  <si>
    <t>758</t>
  </si>
  <si>
    <t>Różne rozliczenia</t>
  </si>
  <si>
    <t>75818</t>
  </si>
  <si>
    <t>Rezerwy ogólne i celowe</t>
  </si>
  <si>
    <t>801</t>
  </si>
  <si>
    <t>Oświata i wychowanie</t>
  </si>
  <si>
    <t>80101</t>
  </si>
  <si>
    <t>Szkoły podstawowe</t>
  </si>
  <si>
    <t>80102</t>
  </si>
  <si>
    <t>Szkoły podstawowe specjalne</t>
  </si>
  <si>
    <t>80104</t>
  </si>
  <si>
    <t>Przedszkola</t>
  </si>
  <si>
    <t>80110</t>
  </si>
  <si>
    <t>Gimnazja</t>
  </si>
  <si>
    <t xml:space="preserve">    wydatki majątkowe</t>
  </si>
  <si>
    <t>80111</t>
  </si>
  <si>
    <t>80113</t>
  </si>
  <si>
    <t>Dowożenie uczniów do szkół</t>
  </si>
  <si>
    <t>80120</t>
  </si>
  <si>
    <t>Licea ogólnokształcące</t>
  </si>
  <si>
    <t>80123</t>
  </si>
  <si>
    <t xml:space="preserve">Licea profilowane </t>
  </si>
  <si>
    <t xml:space="preserve">     wynagr. i pochodne od wynagr.</t>
  </si>
  <si>
    <t>80130</t>
  </si>
  <si>
    <t>Szkoły zawodowe</t>
  </si>
  <si>
    <t>80132</t>
  </si>
  <si>
    <t>Szkoły artystyczne</t>
  </si>
  <si>
    <t>80134</t>
  </si>
  <si>
    <t>Szkoły zawodowe specjalne</t>
  </si>
  <si>
    <t>80140</t>
  </si>
  <si>
    <t>Centra kształcenia ustawicznego i praktycznego oraz ośrodki dokształcania zawodowego</t>
  </si>
  <si>
    <t>80146</t>
  </si>
  <si>
    <t xml:space="preserve">Dokształcanie i doskonalenie nauczycieli </t>
  </si>
  <si>
    <t>80195</t>
  </si>
  <si>
    <t>851</t>
  </si>
  <si>
    <t>Ochrona zdrowia</t>
  </si>
  <si>
    <t>85149</t>
  </si>
  <si>
    <t>Programy polityki zdrowotnej</t>
  </si>
  <si>
    <t>85152</t>
  </si>
  <si>
    <t>Zapobieganie i zwalczanie AIDS</t>
  </si>
  <si>
    <t>85153</t>
  </si>
  <si>
    <t>Zwalczanie narkomanii</t>
  </si>
  <si>
    <t>85154</t>
  </si>
  <si>
    <t>Przeciwdziałanie alkoholizmowi</t>
  </si>
  <si>
    <t>85158</t>
  </si>
  <si>
    <t>Izby wytrzeźwień</t>
  </si>
  <si>
    <t>85195</t>
  </si>
  <si>
    <t>852</t>
  </si>
  <si>
    <t>Pomoc społeczna</t>
  </si>
  <si>
    <t>85201</t>
  </si>
  <si>
    <t>Placówki opiekuńczo - wychowawcze</t>
  </si>
  <si>
    <t>85202</t>
  </si>
  <si>
    <t>Domy pomocy społecznej</t>
  </si>
  <si>
    <t>85203</t>
  </si>
  <si>
    <t>Ośrodki wsparcia</t>
  </si>
  <si>
    <t>85204</t>
  </si>
  <si>
    <t xml:space="preserve">Rodziny zastępcze </t>
  </si>
  <si>
    <t>85214</t>
  </si>
  <si>
    <t>85215</t>
  </si>
  <si>
    <t xml:space="preserve">Dodatki mieszkaniowe </t>
  </si>
  <si>
    <t>85218</t>
  </si>
  <si>
    <t>Powiatowe centra pomocy rodzinie</t>
  </si>
  <si>
    <t>85219</t>
  </si>
  <si>
    <t>Ośrodki pomocy społecznej</t>
  </si>
  <si>
    <t>85220</t>
  </si>
  <si>
    <t>Jedn. specjalistycznego poradnictwa, mieszkania chronione i ośrodki interwencji kryzysowej</t>
  </si>
  <si>
    <t>85226</t>
  </si>
  <si>
    <t>Ośrodki adopcyjno-opiekuńcze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</si>
  <si>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</si>
  <si>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</si>
  <si>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</si>
  <si>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</si>
  <si>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</si>
  <si>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85305</t>
  </si>
  <si>
    <t>Żłobki</t>
  </si>
  <si>
    <t>85321</t>
  </si>
  <si>
    <t>Zespoły ds.orzekania o niepełnosprawności</t>
  </si>
  <si>
    <t>85333</t>
  </si>
  <si>
    <t>Powiatowe urzędy pracy</t>
  </si>
  <si>
    <t>Dokształcanie i doskonalenie nauczycieli</t>
  </si>
  <si>
    <t>85395</t>
  </si>
  <si>
    <t>854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</si>
  <si>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</si>
  <si>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</si>
  <si>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</si>
  <si>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</si>
  <si>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</si>
  <si>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</si>
  <si>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Poradnie psychologiczno-pedagogiczne,</t>
  </si>
  <si>
    <t>w tym poradnie specjalistyczne</t>
  </si>
  <si>
    <t>85407</t>
  </si>
  <si>
    <t>85410</t>
  </si>
  <si>
    <t>Internaty i bursy szkolne</t>
  </si>
  <si>
    <t>85412</t>
  </si>
  <si>
    <t>Kolonie i obozy oraz inne formy wypoczynku dzieci i młodzieży szkolnej, a także szkolenia młodzieży</t>
  </si>
  <si>
    <t>85415</t>
  </si>
  <si>
    <t>Pomoc materialna dla uczniów</t>
  </si>
  <si>
    <t>85417</t>
  </si>
  <si>
    <t>Szkolne schroniska młodzieżowe</t>
  </si>
  <si>
    <t>85446</t>
  </si>
  <si>
    <t>85495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</si>
  <si>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</si>
  <si>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</si>
  <si>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</si>
  <si>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</si>
  <si>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</si>
  <si>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</si>
  <si>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</si>
  <si>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</si>
  <si>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</si>
  <si>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</si>
  <si>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</si>
  <si>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</si>
  <si>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</si>
  <si>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</si>
  <si>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90020</t>
  </si>
  <si>
    <t>Wpływy i wydatki związane z gromadzeniem środków z opłat produktowych</t>
  </si>
  <si>
    <t>90095</t>
  </si>
  <si>
    <t>921</t>
  </si>
  <si>
    <t>Kultura i ochrona dziedzictwa narodowego</t>
  </si>
  <si>
    <t>92105</t>
  </si>
  <si>
    <t>Pozostałe zadania w zakresie kultury</t>
  </si>
  <si>
    <t>92106</t>
  </si>
  <si>
    <t>92108</t>
  </si>
  <si>
    <t>Filharmonie, orkiestry, chóry i kapele</t>
  </si>
  <si>
    <t>92109</t>
  </si>
  <si>
    <t>Domy i ośrodki kultury, świetlice i kluby</t>
  </si>
  <si>
    <t>92110</t>
  </si>
  <si>
    <t>Galerie i biura wystaw artystycznych</t>
  </si>
  <si>
    <t>92113</t>
  </si>
  <si>
    <t>Centra kultury i sztuki</t>
  </si>
  <si>
    <t>92116</t>
  </si>
  <si>
    <t>Biblioteki</t>
  </si>
  <si>
    <t>92118</t>
  </si>
  <si>
    <t>Muzea</t>
  </si>
  <si>
    <t>92120</t>
  </si>
  <si>
    <t>92122</t>
  </si>
  <si>
    <t>Rada Ochrony Pamięci Walk i Męczeństwa</t>
  </si>
  <si>
    <t>92195</t>
  </si>
  <si>
    <t>925</t>
  </si>
  <si>
    <t xml:space="preserve">Ogrody botaniczne i zoologiczne oraz naturalne obszary i obiekty chronionej przyrody </t>
  </si>
  <si>
    <t>92503</t>
  </si>
  <si>
    <t>Rezerwaty i pomniki przyrody</t>
  </si>
  <si>
    <t>926</t>
  </si>
  <si>
    <t>Kultura fizyczna i sport</t>
  </si>
  <si>
    <t>92601</t>
  </si>
  <si>
    <t>Obiekty sportowe</t>
  </si>
  <si>
    <t>92604</t>
  </si>
  <si>
    <t>Instytucje kultury fizycznej</t>
  </si>
  <si>
    <t>92605</t>
  </si>
  <si>
    <t>Zadania w zakr.kultury fizycznej i sportu</t>
  </si>
  <si>
    <t>92695</t>
  </si>
  <si>
    <t>ZADANIA ZLECONE Z ZAKRESU                            ADMINISTRACJI RZADOWEJ</t>
  </si>
  <si>
    <t>Gospodarka gruntami i nieruchomościami</t>
  </si>
  <si>
    <t xml:space="preserve">Nadzór budowlany </t>
  </si>
  <si>
    <t>75045</t>
  </si>
  <si>
    <t>Komisje poborowe</t>
  </si>
  <si>
    <t>751</t>
  </si>
  <si>
    <t>Urzędy naczelnych ogranów władzy państwowej, kontroli i ochrony prawa oraz sądownictwa</t>
  </si>
  <si>
    <t>75101</t>
  </si>
  <si>
    <t>Komendy powiat. Państw.Straży Pożarnej</t>
  </si>
  <si>
    <t xml:space="preserve">Ochrona zdrowia </t>
  </si>
  <si>
    <t>85213</t>
  </si>
  <si>
    <t xml:space="preserve">Składki na ubezpieczenie zdrowotne </t>
  </si>
  <si>
    <t>opłacane za osoby pobierające niektóre</t>
  </si>
  <si>
    <t>świadczenia z pomocy społecznej</t>
  </si>
  <si>
    <t>Zasiłki i pomoc w naturze oraz składki</t>
  </si>
  <si>
    <t>Usługi opiekuńcze i specjalistyczne usługi</t>
  </si>
  <si>
    <t>opiekuńcze</t>
  </si>
  <si>
    <t>ZADANIA REALIZOWANE NA PODSTAWIE POROZUMIEŃ Z ORGANAMI ADMIN. RZĄDOWEJ</t>
  </si>
  <si>
    <t>ZADANIA REALIZOWANE NA PODSTAWIE POROZUMIEŃ Z JEDNOSTKAMI SAMORZĄDU TERYTORIALNEGO</t>
  </si>
  <si>
    <t>Zespoły ds. orzekania o niepełnosprawności</t>
  </si>
  <si>
    <t>WYDATKI OGÓŁEM</t>
  </si>
  <si>
    <t>85111</t>
  </si>
  <si>
    <t>Szpitale ogólne</t>
  </si>
  <si>
    <t>85212</t>
  </si>
  <si>
    <t xml:space="preserve">   wydatki bieżące                          </t>
  </si>
  <si>
    <t xml:space="preserve">   wydatki bieżące                     </t>
  </si>
  <si>
    <t xml:space="preserve">   wydatki bieżące                        </t>
  </si>
  <si>
    <t xml:space="preserve">   wydatki bieżące                       </t>
  </si>
  <si>
    <t>85233</t>
  </si>
  <si>
    <t xml:space="preserve">    wydatki bieżące                        </t>
  </si>
  <si>
    <t>Różne rozliczenia finansowe</t>
  </si>
  <si>
    <t>150</t>
  </si>
  <si>
    <t>Przetwórstwo przemysłowe</t>
  </si>
  <si>
    <t>15011</t>
  </si>
  <si>
    <t>Rozwój przedsiębiorczości</t>
  </si>
  <si>
    <t xml:space="preserve">   wydatki bieżące                            </t>
  </si>
  <si>
    <t xml:space="preserve">  wydatki majątkowe</t>
  </si>
  <si>
    <t>71095</t>
  </si>
  <si>
    <t>75075</t>
  </si>
  <si>
    <t>Promocja jednostek samorządu terytorialnego</t>
  </si>
  <si>
    <t>80103</t>
  </si>
  <si>
    <t>Oddziały przedszkolne w szkołach podstawowych</t>
  </si>
  <si>
    <t>75814</t>
  </si>
  <si>
    <t>85311</t>
  </si>
  <si>
    <t>Rehabilitacja zawodowa i społeczna osób niepełnosprawnych</t>
  </si>
  <si>
    <t>Szkolnictwo wyższe</t>
  </si>
  <si>
    <t>Pomoc materialna dla studentów</t>
  </si>
  <si>
    <t>Placówki opiekuńczo-wychowawcze</t>
  </si>
  <si>
    <t>Rodziny zastępcze</t>
  </si>
  <si>
    <t xml:space="preserve">   wydatki bieżące                             </t>
  </si>
  <si>
    <t>Urzędy naczelnych organów władzy państwowej, kontroli i ochrony prawa</t>
  </si>
  <si>
    <t>Obsługa papierów wartościowych, kredytów i pożyczek jedn.sam.teryt.</t>
  </si>
  <si>
    <t>Zasiłki i pomoc w naturze oraz składki na ubezpieczenia emerytalne i rentowe</t>
  </si>
  <si>
    <t>Ochrona zabytków i opieka nad zabytkami</t>
  </si>
  <si>
    <t xml:space="preserve">      wynagr. i pochodne od wynagr.  </t>
  </si>
  <si>
    <t>70001</t>
  </si>
  <si>
    <t>Zakłady gospodarki mieszkaniowej</t>
  </si>
  <si>
    <t>oraz niektóre świadczenia rodzinne</t>
  </si>
  <si>
    <t>na ubezpieczenia emerytalne i rentowe</t>
  </si>
  <si>
    <t xml:space="preserve">        wynagr. i pochodne od wynagr.</t>
  </si>
  <si>
    <t>r.cel.na prefin.działań przewidzianych w proj.92000</t>
  </si>
  <si>
    <t>r.ogólna na stypendia J.PawłaII 500000;  r.ogóln. na instytucje kultury 300.000</t>
  </si>
  <si>
    <t xml:space="preserve">   wydatki bieżące                         </t>
  </si>
  <si>
    <t xml:space="preserve">  wydatki bieżące                         </t>
  </si>
  <si>
    <t xml:space="preserve">    wydatki bieżące                       </t>
  </si>
  <si>
    <t xml:space="preserve">   wydatki bieżące                      </t>
  </si>
  <si>
    <t xml:space="preserve">       wynagr. i pochodne od wynagr.    </t>
  </si>
  <si>
    <t xml:space="preserve">   wydatki bieżące                           </t>
  </si>
  <si>
    <t xml:space="preserve">       wynagr. i pochodne od wynagr.  </t>
  </si>
  <si>
    <t xml:space="preserve">       dotacje      </t>
  </si>
  <si>
    <t xml:space="preserve">      dotacje   </t>
  </si>
  <si>
    <t xml:space="preserve">      wynagr. i pochodne od wynagr. </t>
  </si>
  <si>
    <t xml:space="preserve">      dotacje     </t>
  </si>
  <si>
    <t xml:space="preserve">   wydatki bieżące            </t>
  </si>
  <si>
    <t xml:space="preserve">   wydatki bieżące                               </t>
  </si>
  <si>
    <t xml:space="preserve">      dotacje                                  </t>
  </si>
  <si>
    <t xml:space="preserve">   wydatki majątkowe                      </t>
  </si>
  <si>
    <t xml:space="preserve">   wydatki bieżące                              </t>
  </si>
  <si>
    <t xml:space="preserve">   wydatki bieżące                </t>
  </si>
  <si>
    <t xml:space="preserve">Składki na ubezpieczenie zdrowotne oraz świadczenia dla osób nieobjętych obowiązkiem ubezpieczenia zdrowotnego </t>
  </si>
  <si>
    <t xml:space="preserve">PLAN WYDATKÓW BUDŻETU KALISZA NA 2006 ROK                                                                                                                        </t>
  </si>
  <si>
    <t>Plan na 2006 rok</t>
  </si>
  <si>
    <t xml:space="preserve">      dotacje      </t>
  </si>
  <si>
    <t xml:space="preserve">       dotacje</t>
  </si>
  <si>
    <t xml:space="preserve">       wynagr. i pochodne od wynagr. </t>
  </si>
  <si>
    <t>Dochody od osób prawnych, od osób fizycznych i od innych jednostek nieposiadających osob.prawnej oraz wydatki związane z ich poborem</t>
  </si>
  <si>
    <t xml:space="preserve">      dotacje        </t>
  </si>
  <si>
    <t xml:space="preserve">      wynagr.i pochodne od wynagr.  </t>
  </si>
  <si>
    <t>Załącznik Nr 2
do uchwały Nr XXXIX/630/2005
Rady Miejskiej Kalisza
z dnia 28 grudnia 2005 r.
w sprawie uchwalenia budżetu Kalisza - 
Miasta na prawach powiatu na 2006 rok</t>
  </si>
  <si>
    <t xml:space="preserve">Teatry </t>
  </si>
  <si>
    <t>Świadczenia rodzinne, zaliczka alimentacyjna oraz składki na ubezp. emerytalne i rentowe z ubezpieczenia społecznego</t>
  </si>
  <si>
    <t>Gimnazja specjalne</t>
  </si>
  <si>
    <t>Placówki wychowania pozaszkolnego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</si>
</sst>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8">
    <font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12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/>
    </xf>
    <xf numFmtId="49" fontId="0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left" vertical="top" wrapText="1"/>
    </xf>
    <xf numFmtId="3" fontId="0" fillId="0" borderId="4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0" fillId="0" borderId="5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left" vertical="top" wrapText="1"/>
    </xf>
    <xf numFmtId="3" fontId="0" fillId="0" borderId="5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3" fontId="6" fillId="0" borderId="5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5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top"/>
    </xf>
    <xf numFmtId="3" fontId="0" fillId="0" borderId="2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49" fontId="6" fillId="0" borderId="5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0" fontId="6" fillId="0" borderId="5" xfId="0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3" fontId="0" fillId="0" borderId="2" xfId="0" applyNumberFormat="1" applyFont="1" applyBorder="1" applyAlignment="1">
      <alignment vertical="center"/>
    </xf>
    <xf numFmtId="0" fontId="0" fillId="0" borderId="0" xfId="0" applyBorder="1" applyAlignment="1">
      <alignment horizontal="right"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49" fontId="0" fillId="0" borderId="2" xfId="0" applyNumberFormat="1" applyFont="1" applyFill="1" applyBorder="1" applyAlignment="1">
      <alignment horizontal="center" vertical="top"/>
    </xf>
    <xf numFmtId="3" fontId="0" fillId="0" borderId="2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3" xfId="0" applyNumberFormat="1" applyFont="1" applyBorder="1" applyAlignment="1">
      <alignment vertical="center"/>
    </xf>
    <xf numFmtId="0" fontId="0" fillId="0" borderId="2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5" xfId="0" applyFont="1" applyBorder="1" applyAlignment="1">
      <alignment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3" fontId="6" fillId="0" borderId="5" xfId="0" applyNumberFormat="1" applyFont="1" applyBorder="1" applyAlignment="1">
      <alignment/>
    </xf>
    <xf numFmtId="49" fontId="0" fillId="0" borderId="5" xfId="0" applyNumberFormat="1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2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top" wrapText="1"/>
    </xf>
    <xf numFmtId="3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" fillId="0" borderId="0" xfId="0" applyFont="1" applyAlignment="1">
      <alignment vertical="center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/>
    </xf>
    <xf numFmtId="49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4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3" fontId="0" fillId="0" borderId="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3" fontId="0" fillId="0" borderId="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49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0" fillId="0" borderId="3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4"/>
  <sheetViews>
    <sheetView tabSelected="1" view="pageBreakPreview" zoomScale="98" zoomScaleNormal="95" zoomScaleSheetLayoutView="98" workbookViewId="0" topLeftCell="A1">
      <selection activeCell="D1" sqref="D1:E1"/>
    </sheetView>
  </sheetViews>
  <sheetFormatPr defaultColWidth="9.00390625" defaultRowHeight="12.75"/>
  <cols>
    <col min="1" max="1" width="6.75390625" style="0" customWidth="1"/>
    <col min="2" max="2" width="43.25390625" style="0" customWidth="1"/>
    <col min="3" max="3" width="14.75390625" style="0" customWidth="1"/>
    <col min="4" max="4" width="15.25390625" style="0" customWidth="1"/>
    <col min="5" max="5" width="13.75390625" style="0" customWidth="1"/>
    <col min="6" max="6" width="9.125" style="2" customWidth="1"/>
    <col min="7" max="7" width="11.625" style="0" customWidth="1"/>
    <col min="8" max="8" width="11.75390625" style="0" customWidth="1"/>
    <col min="9" max="9" width="10.375" style="0" customWidth="1"/>
    <col min="10" max="10" width="9.25390625" style="0" customWidth="1"/>
    <col min="11" max="12" width="10.375" style="0" customWidth="1"/>
  </cols>
  <sheetData>
    <row r="1" spans="1:5" s="68" customFormat="1" ht="69" customHeight="1">
      <c r="A1" s="1"/>
      <c r="B1" s="93"/>
      <c r="C1" s="1"/>
      <c r="D1" s="122" t="s">
        <v>342</v>
      </c>
      <c r="E1" s="122"/>
    </row>
    <row r="2" spans="1:6" s="47" customFormat="1" ht="14.25" customHeight="1">
      <c r="A2" s="129" t="s">
        <v>334</v>
      </c>
      <c r="B2" s="130"/>
      <c r="C2" s="130"/>
      <c r="D2" s="130"/>
      <c r="E2" s="130"/>
      <c r="F2" s="46"/>
    </row>
    <row r="3" spans="1:6" s="67" customFormat="1" ht="12" customHeight="1">
      <c r="A3" s="3"/>
      <c r="B3" s="4"/>
      <c r="C3" s="4"/>
      <c r="D3" s="4"/>
      <c r="E3" s="4" t="s">
        <v>0</v>
      </c>
      <c r="F3" s="66"/>
    </row>
    <row r="4" spans="1:6" s="47" customFormat="1" ht="12.75">
      <c r="A4" s="124" t="s">
        <v>1</v>
      </c>
      <c r="B4" s="124" t="s">
        <v>2</v>
      </c>
      <c r="C4" s="126" t="s">
        <v>335</v>
      </c>
      <c r="D4" s="127"/>
      <c r="E4" s="128"/>
      <c r="F4" s="46"/>
    </row>
    <row r="5" spans="1:6" s="47" customFormat="1" ht="27.75" customHeight="1">
      <c r="A5" s="125"/>
      <c r="B5" s="125"/>
      <c r="C5" s="6" t="s">
        <v>3</v>
      </c>
      <c r="D5" s="102" t="s">
        <v>4</v>
      </c>
      <c r="E5" s="102" t="s">
        <v>5</v>
      </c>
      <c r="F5" s="46"/>
    </row>
    <row r="6" spans="1:6" s="47" customFormat="1" ht="8.2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46"/>
    </row>
    <row r="7" spans="1:6" s="47" customFormat="1" ht="3.75" customHeight="1" thickBot="1">
      <c r="A7" s="8"/>
      <c r="B7" s="8"/>
      <c r="C7" s="8"/>
      <c r="D7" s="8"/>
      <c r="E7" s="8"/>
      <c r="F7" s="46"/>
    </row>
    <row r="8" spans="1:6" s="47" customFormat="1" ht="14.25" thickBot="1" thickTop="1">
      <c r="A8" s="123" t="s">
        <v>6</v>
      </c>
      <c r="B8" s="123"/>
      <c r="C8" s="9">
        <f>SUM(D8,E8)</f>
        <v>288246720</v>
      </c>
      <c r="D8" s="9">
        <f>SUM(D9,D16,D26,D29,D40,D47,D62,D77,D101,D140,D145,D152,D221,D293,D315,D354,D382,D426,D429,D135,D245,D21)</f>
        <v>194117815</v>
      </c>
      <c r="E8" s="9">
        <f>SUM(E9,E16,E26,E29,E40,E47,E62,E77,E101,E140,E145,E152,E221,E293,E315,E354,E382,E426,E429,E245,E135,E21)</f>
        <v>94128905</v>
      </c>
      <c r="F8" s="46"/>
    </row>
    <row r="9" spans="1:6" s="47" customFormat="1" ht="13.5" thickTop="1">
      <c r="A9" s="10" t="s">
        <v>7</v>
      </c>
      <c r="B9" s="11" t="s">
        <v>8</v>
      </c>
      <c r="C9" s="12">
        <f>SUM(D9,E9)</f>
        <v>9400</v>
      </c>
      <c r="D9" s="12">
        <f>SUM(D10,D14)</f>
        <v>9400</v>
      </c>
      <c r="E9" s="12">
        <f>SUM(E10,E14)</f>
        <v>0</v>
      </c>
      <c r="F9" s="46"/>
    </row>
    <row r="10" spans="1:6" s="47" customFormat="1" ht="12.75">
      <c r="A10" s="13" t="s">
        <v>9</v>
      </c>
      <c r="B10" s="14" t="s">
        <v>10</v>
      </c>
      <c r="C10" s="15">
        <f>SUM(D10,E10)</f>
        <v>6100</v>
      </c>
      <c r="D10" s="15">
        <f>SUM(D11)</f>
        <v>6100</v>
      </c>
      <c r="E10" s="15">
        <v>0</v>
      </c>
      <c r="F10" s="46"/>
    </row>
    <row r="11" spans="1:6" s="47" customFormat="1" ht="12.75">
      <c r="A11" s="16"/>
      <c r="B11" s="17" t="s">
        <v>280</v>
      </c>
      <c r="C11" s="18">
        <f>SUM(D11,E11)</f>
        <v>6100</v>
      </c>
      <c r="D11" s="18">
        <v>6100</v>
      </c>
      <c r="E11" s="18">
        <v>0</v>
      </c>
      <c r="F11" s="46"/>
    </row>
    <row r="12" spans="1:6" s="47" customFormat="1" ht="12.75">
      <c r="A12" s="16"/>
      <c r="B12" s="17" t="s">
        <v>67</v>
      </c>
      <c r="C12" s="18"/>
      <c r="D12" s="18"/>
      <c r="E12" s="18"/>
      <c r="F12" s="46"/>
    </row>
    <row r="13" spans="1:6" s="47" customFormat="1" ht="12.75">
      <c r="A13" s="20"/>
      <c r="B13" s="21" t="s">
        <v>89</v>
      </c>
      <c r="C13" s="22">
        <f aca="true" t="shared" si="0" ref="C13:C23">SUM(D13,E13)</f>
        <v>6100</v>
      </c>
      <c r="D13" s="22">
        <v>6100</v>
      </c>
      <c r="E13" s="22">
        <v>0</v>
      </c>
      <c r="F13" s="46"/>
    </row>
    <row r="14" spans="1:6" s="47" customFormat="1" ht="12.75">
      <c r="A14" s="13" t="s">
        <v>13</v>
      </c>
      <c r="B14" s="14" t="s">
        <v>14</v>
      </c>
      <c r="C14" s="15">
        <f t="shared" si="0"/>
        <v>3300</v>
      </c>
      <c r="D14" s="15">
        <f>SUM(D15)</f>
        <v>3300</v>
      </c>
      <c r="E14" s="15">
        <f>SUM(E15)</f>
        <v>0</v>
      </c>
      <c r="F14" s="46"/>
    </row>
    <row r="15" spans="1:6" s="47" customFormat="1" ht="12.75">
      <c r="A15" s="20"/>
      <c r="B15" s="21" t="s">
        <v>316</v>
      </c>
      <c r="C15" s="22">
        <f t="shared" si="0"/>
        <v>3300</v>
      </c>
      <c r="D15" s="18">
        <v>3300</v>
      </c>
      <c r="E15" s="18">
        <v>0</v>
      </c>
      <c r="F15" s="46"/>
    </row>
    <row r="16" spans="1:6" s="47" customFormat="1" ht="12.75">
      <c r="A16" s="32" t="s">
        <v>15</v>
      </c>
      <c r="B16" s="34" t="s">
        <v>16</v>
      </c>
      <c r="C16" s="25">
        <f t="shared" si="0"/>
        <v>800</v>
      </c>
      <c r="D16" s="26">
        <f>SUM(D19)</f>
        <v>0</v>
      </c>
      <c r="E16" s="26">
        <f>SUM(E19,E17)</f>
        <v>800</v>
      </c>
      <c r="F16" s="46"/>
    </row>
    <row r="17" spans="1:6" s="47" customFormat="1" ht="12.75">
      <c r="A17" s="16" t="s">
        <v>17</v>
      </c>
      <c r="B17" s="17" t="s">
        <v>18</v>
      </c>
      <c r="C17" s="18">
        <f t="shared" si="0"/>
        <v>400</v>
      </c>
      <c r="D17" s="18">
        <f>SUM(D18)</f>
        <v>0</v>
      </c>
      <c r="E17" s="18">
        <f>SUM(E18)</f>
        <v>400</v>
      </c>
      <c r="F17" s="46"/>
    </row>
    <row r="18" spans="1:6" s="47" customFormat="1" ht="12.75">
      <c r="A18" s="20"/>
      <c r="B18" s="21" t="s">
        <v>280</v>
      </c>
      <c r="C18" s="22">
        <f t="shared" si="0"/>
        <v>400</v>
      </c>
      <c r="D18" s="22">
        <v>0</v>
      </c>
      <c r="E18" s="22">
        <v>400</v>
      </c>
      <c r="F18" s="46"/>
    </row>
    <row r="19" spans="1:6" s="47" customFormat="1" ht="12.75">
      <c r="A19" s="16" t="s">
        <v>20</v>
      </c>
      <c r="B19" s="17" t="s">
        <v>21</v>
      </c>
      <c r="C19" s="18">
        <f t="shared" si="0"/>
        <v>400</v>
      </c>
      <c r="D19" s="18">
        <f>SUM(D20)</f>
        <v>0</v>
      </c>
      <c r="E19" s="18">
        <f>SUM(E20)</f>
        <v>400</v>
      </c>
      <c r="F19" s="46"/>
    </row>
    <row r="20" spans="1:6" s="47" customFormat="1" ht="12.75" customHeight="1">
      <c r="A20" s="16"/>
      <c r="B20" s="17" t="s">
        <v>316</v>
      </c>
      <c r="C20" s="22">
        <f t="shared" si="0"/>
        <v>400</v>
      </c>
      <c r="D20" s="22">
        <v>0</v>
      </c>
      <c r="E20" s="22">
        <v>400</v>
      </c>
      <c r="F20" s="46"/>
    </row>
    <row r="21" spans="1:6" s="47" customFormat="1" ht="12.75">
      <c r="A21" s="58" t="s">
        <v>285</v>
      </c>
      <c r="B21" s="59" t="s">
        <v>286</v>
      </c>
      <c r="C21" s="29">
        <f t="shared" si="0"/>
        <v>80000</v>
      </c>
      <c r="D21" s="29">
        <f>SUM(D22)</f>
        <v>80000</v>
      </c>
      <c r="E21" s="60">
        <v>0</v>
      </c>
      <c r="F21" s="46"/>
    </row>
    <row r="22" spans="1:6" s="47" customFormat="1" ht="12.75">
      <c r="A22" s="16" t="s">
        <v>287</v>
      </c>
      <c r="B22" s="17" t="s">
        <v>288</v>
      </c>
      <c r="C22" s="18">
        <f t="shared" si="0"/>
        <v>80000</v>
      </c>
      <c r="D22" s="18">
        <f>SUM(D23)</f>
        <v>80000</v>
      </c>
      <c r="E22" s="18">
        <v>0</v>
      </c>
      <c r="F22" s="46"/>
    </row>
    <row r="23" spans="1:6" s="47" customFormat="1" ht="12.75">
      <c r="A23" s="16"/>
      <c r="B23" s="17" t="s">
        <v>289</v>
      </c>
      <c r="C23" s="18">
        <f t="shared" si="0"/>
        <v>80000</v>
      </c>
      <c r="D23" s="18">
        <v>80000</v>
      </c>
      <c r="E23" s="18">
        <v>0</v>
      </c>
      <c r="F23" s="46"/>
    </row>
    <row r="24" spans="1:6" s="47" customFormat="1" ht="12.75">
      <c r="A24" s="16"/>
      <c r="B24" s="17" t="s">
        <v>67</v>
      </c>
      <c r="C24" s="18"/>
      <c r="D24" s="18"/>
      <c r="E24" s="18"/>
      <c r="F24" s="46"/>
    </row>
    <row r="25" spans="1:6" s="47" customFormat="1" ht="12.75">
      <c r="A25" s="16"/>
      <c r="B25" s="17" t="s">
        <v>336</v>
      </c>
      <c r="C25" s="18">
        <f aca="true" t="shared" si="1" ref="C25:C33">SUM(D25,E25)</f>
        <v>80000</v>
      </c>
      <c r="D25" s="18">
        <v>80000</v>
      </c>
      <c r="E25" s="18">
        <v>0</v>
      </c>
      <c r="F25" s="46"/>
    </row>
    <row r="26" spans="1:6" s="47" customFormat="1" ht="25.5">
      <c r="A26" s="94" t="s">
        <v>22</v>
      </c>
      <c r="B26" s="95" t="s">
        <v>23</v>
      </c>
      <c r="C26" s="96">
        <f t="shared" si="1"/>
        <v>1480000</v>
      </c>
      <c r="D26" s="96">
        <f>SUM(D27)</f>
        <v>1480000</v>
      </c>
      <c r="E26" s="96">
        <f>SUM(E27)</f>
        <v>0</v>
      </c>
      <c r="F26" s="46"/>
    </row>
    <row r="27" spans="1:6" s="47" customFormat="1" ht="12.75">
      <c r="A27" s="97" t="s">
        <v>24</v>
      </c>
      <c r="B27" s="98" t="s">
        <v>25</v>
      </c>
      <c r="C27" s="45">
        <f t="shared" si="1"/>
        <v>1480000</v>
      </c>
      <c r="D27" s="45">
        <f>SUM(D28)</f>
        <v>1480000</v>
      </c>
      <c r="E27" s="45">
        <f>SUM(E28)</f>
        <v>0</v>
      </c>
      <c r="F27" s="46"/>
    </row>
    <row r="28" spans="1:6" s="47" customFormat="1" ht="12.75">
      <c r="A28" s="61"/>
      <c r="B28" s="62" t="s">
        <v>26</v>
      </c>
      <c r="C28" s="48">
        <f t="shared" si="1"/>
        <v>1480000</v>
      </c>
      <c r="D28" s="48">
        <v>1480000</v>
      </c>
      <c r="E28" s="48">
        <v>0</v>
      </c>
      <c r="F28" s="46"/>
    </row>
    <row r="29" spans="1:6" s="47" customFormat="1" ht="12.75">
      <c r="A29" s="23" t="s">
        <v>27</v>
      </c>
      <c r="B29" s="24" t="s">
        <v>28</v>
      </c>
      <c r="C29" s="29">
        <f t="shared" si="1"/>
        <v>36539426</v>
      </c>
      <c r="D29" s="29">
        <f>SUM(D30,D32,D37)</f>
        <v>16447553</v>
      </c>
      <c r="E29" s="29">
        <f>SUM(E30,E32,E37)</f>
        <v>20091873</v>
      </c>
      <c r="F29" s="46"/>
    </row>
    <row r="30" spans="1:6" s="47" customFormat="1" ht="12.75">
      <c r="A30" s="13" t="s">
        <v>29</v>
      </c>
      <c r="B30" s="14" t="s">
        <v>30</v>
      </c>
      <c r="C30" s="15">
        <f t="shared" si="1"/>
        <v>8087000</v>
      </c>
      <c r="D30" s="18">
        <f>SUM(D31:D31)</f>
        <v>8087000</v>
      </c>
      <c r="E30" s="18">
        <f>SUM(E31)</f>
        <v>0</v>
      </c>
      <c r="F30" s="46"/>
    </row>
    <row r="31" spans="1:6" s="47" customFormat="1" ht="12.75" customHeight="1">
      <c r="A31" s="20"/>
      <c r="B31" s="21" t="s">
        <v>317</v>
      </c>
      <c r="C31" s="22">
        <f t="shared" si="1"/>
        <v>8087000</v>
      </c>
      <c r="D31" s="22">
        <f>8086000+1000</f>
        <v>8087000</v>
      </c>
      <c r="E31" s="22">
        <v>0</v>
      </c>
      <c r="F31" s="46"/>
    </row>
    <row r="32" spans="1:6" s="47" customFormat="1" ht="13.5" customHeight="1">
      <c r="A32" s="16" t="s">
        <v>31</v>
      </c>
      <c r="B32" s="17" t="s">
        <v>32</v>
      </c>
      <c r="C32" s="30">
        <f t="shared" si="1"/>
        <v>21327873</v>
      </c>
      <c r="D32" s="30">
        <f>SUM(D33,D36)</f>
        <v>1236000</v>
      </c>
      <c r="E32" s="30">
        <f>SUM(E33,E36)</f>
        <v>20091873</v>
      </c>
      <c r="F32" s="46"/>
    </row>
    <row r="33" spans="1:6" s="47" customFormat="1" ht="12.75">
      <c r="A33" s="16"/>
      <c r="B33" s="17" t="s">
        <v>316</v>
      </c>
      <c r="C33" s="18">
        <f t="shared" si="1"/>
        <v>4866800</v>
      </c>
      <c r="D33" s="18">
        <f>2236000-1000000</f>
        <v>1236000</v>
      </c>
      <c r="E33" s="18">
        <v>3630800</v>
      </c>
      <c r="F33" s="46"/>
    </row>
    <row r="34" spans="1:6" s="47" customFormat="1" ht="12.75">
      <c r="A34" s="16"/>
      <c r="B34" s="17" t="s">
        <v>34</v>
      </c>
      <c r="C34" s="18"/>
      <c r="D34" s="18"/>
      <c r="E34" s="18"/>
      <c r="F34" s="46"/>
    </row>
    <row r="35" spans="1:6" s="47" customFormat="1" ht="12.75">
      <c r="A35" s="16"/>
      <c r="B35" s="17" t="s">
        <v>75</v>
      </c>
      <c r="C35" s="18">
        <f aca="true" t="shared" si="2" ref="C35:C42">SUM(D35,E35)</f>
        <v>1856891</v>
      </c>
      <c r="D35" s="18">
        <v>0</v>
      </c>
      <c r="E35" s="18">
        <f>1835375+21516</f>
        <v>1856891</v>
      </c>
      <c r="F35" s="46"/>
    </row>
    <row r="36" spans="1:6" s="47" customFormat="1" ht="12.75">
      <c r="A36" s="61"/>
      <c r="B36" s="62" t="s">
        <v>290</v>
      </c>
      <c r="C36" s="48">
        <f t="shared" si="2"/>
        <v>16461073</v>
      </c>
      <c r="D36" s="48">
        <v>0</v>
      </c>
      <c r="E36" s="48">
        <v>16461073</v>
      </c>
      <c r="F36" s="46"/>
    </row>
    <row r="37" spans="1:6" s="47" customFormat="1" ht="15" customHeight="1">
      <c r="A37" s="13" t="s">
        <v>36</v>
      </c>
      <c r="B37" s="14" t="s">
        <v>37</v>
      </c>
      <c r="C37" s="15">
        <f t="shared" si="2"/>
        <v>7124553</v>
      </c>
      <c r="D37" s="15">
        <f>SUM(D38,D39)</f>
        <v>7124553</v>
      </c>
      <c r="E37" s="15">
        <f>SUM(E38:E39)</f>
        <v>0</v>
      </c>
      <c r="F37" s="46"/>
    </row>
    <row r="38" spans="1:6" s="47" customFormat="1" ht="14.25" customHeight="1">
      <c r="A38" s="16"/>
      <c r="B38" s="17" t="s">
        <v>33</v>
      </c>
      <c r="C38" s="18">
        <f t="shared" si="2"/>
        <v>1547200</v>
      </c>
      <c r="D38" s="18">
        <f>1547200-1000000+1000000</f>
        <v>1547200</v>
      </c>
      <c r="E38" s="18">
        <v>0</v>
      </c>
      <c r="F38" s="46"/>
    </row>
    <row r="39" spans="1:6" s="47" customFormat="1" ht="12.75">
      <c r="A39" s="61"/>
      <c r="B39" s="62" t="s">
        <v>26</v>
      </c>
      <c r="C39" s="48">
        <f t="shared" si="2"/>
        <v>5577353</v>
      </c>
      <c r="D39" s="48">
        <f>5765353+200000-200000-490000+302000</f>
        <v>5577353</v>
      </c>
      <c r="E39" s="48">
        <v>0</v>
      </c>
      <c r="F39" s="46"/>
    </row>
    <row r="40" spans="1:5" ht="15" customHeight="1">
      <c r="A40" s="10" t="s">
        <v>39</v>
      </c>
      <c r="B40" s="11" t="s">
        <v>40</v>
      </c>
      <c r="C40" s="25">
        <f t="shared" si="2"/>
        <v>63800</v>
      </c>
      <c r="D40" s="26">
        <f>SUM(D41,D45)</f>
        <v>63800</v>
      </c>
      <c r="E40" s="26">
        <f>SUM(E41,E45)</f>
        <v>0</v>
      </c>
    </row>
    <row r="41" spans="1:5" ht="12.75">
      <c r="A41" s="13" t="s">
        <v>41</v>
      </c>
      <c r="B41" s="14" t="s">
        <v>42</v>
      </c>
      <c r="C41" s="31">
        <f t="shared" si="2"/>
        <v>35700</v>
      </c>
      <c r="D41" s="30">
        <f>SUM(D42)</f>
        <v>35700</v>
      </c>
      <c r="E41" s="30">
        <f>SUM(E42)</f>
        <v>0</v>
      </c>
    </row>
    <row r="42" spans="1:5" ht="12.75">
      <c r="A42" s="16"/>
      <c r="B42" s="17" t="s">
        <v>318</v>
      </c>
      <c r="C42" s="18">
        <f t="shared" si="2"/>
        <v>35700</v>
      </c>
      <c r="D42" s="18">
        <v>35700</v>
      </c>
      <c r="E42" s="18">
        <v>0</v>
      </c>
    </row>
    <row r="43" spans="1:5" ht="12.75">
      <c r="A43" s="16"/>
      <c r="B43" s="17" t="s">
        <v>43</v>
      </c>
      <c r="C43" s="18"/>
      <c r="D43" s="18"/>
      <c r="E43" s="18"/>
    </row>
    <row r="44" spans="1:5" ht="12.75">
      <c r="A44" s="16"/>
      <c r="B44" s="17" t="s">
        <v>313</v>
      </c>
      <c r="C44" s="22">
        <f aca="true" t="shared" si="3" ref="C44:C49">SUM(D44,E44)</f>
        <v>3000</v>
      </c>
      <c r="D44" s="22">
        <v>3000</v>
      </c>
      <c r="E44" s="22">
        <v>0</v>
      </c>
    </row>
    <row r="45" spans="1:5" ht="14.25" customHeight="1">
      <c r="A45" s="13" t="s">
        <v>44</v>
      </c>
      <c r="B45" s="14" t="s">
        <v>14</v>
      </c>
      <c r="C45" s="18">
        <f t="shared" si="3"/>
        <v>28100</v>
      </c>
      <c r="D45" s="18">
        <f>SUM(D46)</f>
        <v>28100</v>
      </c>
      <c r="E45" s="18">
        <f>SUM(E46)</f>
        <v>0</v>
      </c>
    </row>
    <row r="46" spans="1:5" ht="13.5" customHeight="1">
      <c r="A46" s="20"/>
      <c r="B46" s="21" t="s">
        <v>280</v>
      </c>
      <c r="C46" s="18">
        <f t="shared" si="3"/>
        <v>28100</v>
      </c>
      <c r="D46" s="22">
        <v>28100</v>
      </c>
      <c r="E46" s="22">
        <v>0</v>
      </c>
    </row>
    <row r="47" spans="1:5" ht="14.25" customHeight="1">
      <c r="A47" s="23" t="s">
        <v>45</v>
      </c>
      <c r="B47" s="24" t="s">
        <v>46</v>
      </c>
      <c r="C47" s="26">
        <f t="shared" si="3"/>
        <v>4277700</v>
      </c>
      <c r="D47" s="26">
        <f>SUM(D52,D57,D59,D48)</f>
        <v>4269700</v>
      </c>
      <c r="E47" s="26">
        <f>SUM(E52,E59)</f>
        <v>8000</v>
      </c>
    </row>
    <row r="48" spans="1:5" ht="14.25" customHeight="1">
      <c r="A48" s="82" t="s">
        <v>309</v>
      </c>
      <c r="B48" s="83" t="s">
        <v>310</v>
      </c>
      <c r="C48" s="88">
        <f t="shared" si="3"/>
        <v>553900</v>
      </c>
      <c r="D48" s="84">
        <f>SUM(D49)</f>
        <v>553900</v>
      </c>
      <c r="E48" s="84">
        <v>0</v>
      </c>
    </row>
    <row r="49" spans="1:5" ht="14.25" customHeight="1">
      <c r="A49" s="85"/>
      <c r="B49" s="86" t="s">
        <v>19</v>
      </c>
      <c r="C49" s="84">
        <f t="shared" si="3"/>
        <v>553900</v>
      </c>
      <c r="D49" s="84">
        <f>53900+1000000-500000</f>
        <v>553900</v>
      </c>
      <c r="E49" s="84">
        <v>0</v>
      </c>
    </row>
    <row r="50" spans="1:5" ht="14.25" customHeight="1">
      <c r="A50" s="85"/>
      <c r="B50" s="86" t="s">
        <v>34</v>
      </c>
      <c r="C50" s="84"/>
      <c r="D50" s="84"/>
      <c r="E50" s="84"/>
    </row>
    <row r="51" spans="1:5" ht="14.25" customHeight="1">
      <c r="A51" s="103"/>
      <c r="B51" s="104" t="s">
        <v>337</v>
      </c>
      <c r="C51" s="87">
        <f>SUM(D51,E51)</f>
        <v>553900</v>
      </c>
      <c r="D51" s="87">
        <v>553900</v>
      </c>
      <c r="E51" s="87">
        <v>0</v>
      </c>
    </row>
    <row r="52" spans="1:5" ht="13.5" customHeight="1">
      <c r="A52" s="13" t="s">
        <v>47</v>
      </c>
      <c r="B52" s="14" t="s">
        <v>48</v>
      </c>
      <c r="C52" s="18">
        <f>SUM(D52,E52)</f>
        <v>1531000</v>
      </c>
      <c r="D52" s="18">
        <f>SUM(D53,D56)</f>
        <v>1523000</v>
      </c>
      <c r="E52" s="45">
        <f>SUM(E53,E56)</f>
        <v>8000</v>
      </c>
    </row>
    <row r="53" spans="1:5" ht="12.75">
      <c r="A53" s="16"/>
      <c r="B53" s="17" t="s">
        <v>283</v>
      </c>
      <c r="C53" s="18">
        <f>SUM(D53,E53)</f>
        <v>731000</v>
      </c>
      <c r="D53" s="18">
        <v>723000</v>
      </c>
      <c r="E53" s="45">
        <v>8000</v>
      </c>
    </row>
    <row r="54" spans="1:5" ht="13.5" customHeight="1">
      <c r="A54" s="16"/>
      <c r="B54" s="17" t="s">
        <v>34</v>
      </c>
      <c r="C54" s="18"/>
      <c r="D54" s="18"/>
      <c r="E54" s="45"/>
    </row>
    <row r="55" spans="1:5" ht="13.5" customHeight="1">
      <c r="A55" s="16"/>
      <c r="B55" s="17" t="s">
        <v>338</v>
      </c>
      <c r="C55" s="45">
        <f aca="true" t="shared" si="4" ref="C55:C64">SUM(D55,E55)</f>
        <v>14000</v>
      </c>
      <c r="D55" s="18">
        <f>1300+200+12500</f>
        <v>14000</v>
      </c>
      <c r="E55" s="45">
        <v>0</v>
      </c>
    </row>
    <row r="56" spans="1:6" s="47" customFormat="1" ht="12.75">
      <c r="A56" s="61"/>
      <c r="B56" s="62" t="s">
        <v>116</v>
      </c>
      <c r="C56" s="48">
        <f t="shared" si="4"/>
        <v>800000</v>
      </c>
      <c r="D56" s="48">
        <v>800000</v>
      </c>
      <c r="E56" s="48">
        <v>0</v>
      </c>
      <c r="F56" s="46"/>
    </row>
    <row r="57" spans="1:6" s="47" customFormat="1" ht="14.25" customHeight="1">
      <c r="A57" s="44" t="s">
        <v>49</v>
      </c>
      <c r="B57" s="63" t="s">
        <v>50</v>
      </c>
      <c r="C57" s="45">
        <f t="shared" si="4"/>
        <v>550000</v>
      </c>
      <c r="D57" s="40">
        <f>SUM(D58)</f>
        <v>550000</v>
      </c>
      <c r="E57" s="40">
        <f>SUM(E58)</f>
        <v>0</v>
      </c>
      <c r="F57" s="46"/>
    </row>
    <row r="58" spans="1:6" s="47" customFormat="1" ht="12.75">
      <c r="A58" s="61"/>
      <c r="B58" s="62" t="s">
        <v>26</v>
      </c>
      <c r="C58" s="48">
        <f t="shared" si="4"/>
        <v>550000</v>
      </c>
      <c r="D58" s="48">
        <v>550000</v>
      </c>
      <c r="E58" s="48">
        <v>0</v>
      </c>
      <c r="F58" s="46"/>
    </row>
    <row r="59" spans="1:5" ht="12.75">
      <c r="A59" s="16" t="s">
        <v>51</v>
      </c>
      <c r="B59" s="17" t="s">
        <v>14</v>
      </c>
      <c r="C59" s="18">
        <f t="shared" si="4"/>
        <v>1642800</v>
      </c>
      <c r="D59" s="15">
        <f>SUM(D60,D61)</f>
        <v>1642800</v>
      </c>
      <c r="E59" s="15">
        <f>SUM(E60)</f>
        <v>0</v>
      </c>
    </row>
    <row r="60" spans="1:5" ht="12.75">
      <c r="A60" s="16"/>
      <c r="B60" s="17" t="s">
        <v>19</v>
      </c>
      <c r="C60" s="18">
        <f t="shared" si="4"/>
        <v>192800</v>
      </c>
      <c r="D60" s="18">
        <v>192800</v>
      </c>
      <c r="E60" s="18">
        <v>0</v>
      </c>
    </row>
    <row r="61" spans="1:6" s="47" customFormat="1" ht="12.75">
      <c r="A61" s="61"/>
      <c r="B61" s="62" t="s">
        <v>38</v>
      </c>
      <c r="C61" s="48">
        <f t="shared" si="4"/>
        <v>1450000</v>
      </c>
      <c r="D61" s="48">
        <v>1450000</v>
      </c>
      <c r="E61" s="48">
        <v>0</v>
      </c>
      <c r="F61" s="46"/>
    </row>
    <row r="62" spans="1:5" ht="12.75">
      <c r="A62" s="32" t="s">
        <v>52</v>
      </c>
      <c r="B62" s="34" t="s">
        <v>53</v>
      </c>
      <c r="C62" s="25">
        <f t="shared" si="4"/>
        <v>672000</v>
      </c>
      <c r="D62" s="25">
        <f>SUM(D63,D67,D69,D71,D73)</f>
        <v>663000</v>
      </c>
      <c r="E62" s="25">
        <f>SUM(E63,E67,E69,E71)</f>
        <v>9000</v>
      </c>
    </row>
    <row r="63" spans="1:5" ht="14.25" customHeight="1">
      <c r="A63" s="16" t="s">
        <v>54</v>
      </c>
      <c r="B63" s="17" t="s">
        <v>55</v>
      </c>
      <c r="C63" s="15">
        <f t="shared" si="4"/>
        <v>280000</v>
      </c>
      <c r="D63" s="18">
        <f>SUM(D64)</f>
        <v>280000</v>
      </c>
      <c r="E63" s="18">
        <f>SUM(E64)</f>
        <v>0</v>
      </c>
    </row>
    <row r="64" spans="1:5" ht="12.75">
      <c r="A64" s="16"/>
      <c r="B64" s="17" t="s">
        <v>280</v>
      </c>
      <c r="C64" s="18">
        <f t="shared" si="4"/>
        <v>280000</v>
      </c>
      <c r="D64" s="18">
        <v>280000</v>
      </c>
      <c r="E64" s="18">
        <v>0</v>
      </c>
    </row>
    <row r="65" spans="1:5" ht="12.75">
      <c r="A65" s="16"/>
      <c r="B65" s="17" t="s">
        <v>34</v>
      </c>
      <c r="C65" s="18"/>
      <c r="D65" s="18"/>
      <c r="E65" s="18"/>
    </row>
    <row r="66" spans="1:5" ht="12.75">
      <c r="A66" s="20"/>
      <c r="B66" s="21" t="s">
        <v>75</v>
      </c>
      <c r="C66" s="22">
        <f aca="true" t="shared" si="5" ref="C66:C74">SUM(D66,E66)</f>
        <v>30000</v>
      </c>
      <c r="D66" s="22">
        <v>30000</v>
      </c>
      <c r="E66" s="22">
        <v>0</v>
      </c>
    </row>
    <row r="67" spans="1:5" ht="27" customHeight="1">
      <c r="A67" s="16" t="s">
        <v>56</v>
      </c>
      <c r="B67" s="17" t="s">
        <v>57</v>
      </c>
      <c r="C67" s="18">
        <f t="shared" si="5"/>
        <v>38000</v>
      </c>
      <c r="D67" s="18">
        <f>SUM(D68)</f>
        <v>38000</v>
      </c>
      <c r="E67" s="18">
        <f>SUM(E68)</f>
        <v>0</v>
      </c>
    </row>
    <row r="68" spans="1:5" ht="12.75">
      <c r="A68" s="20"/>
      <c r="B68" s="21" t="s">
        <v>280</v>
      </c>
      <c r="C68" s="22">
        <f t="shared" si="5"/>
        <v>38000</v>
      </c>
      <c r="D68" s="22">
        <v>38000</v>
      </c>
      <c r="E68" s="22">
        <v>0</v>
      </c>
    </row>
    <row r="69" spans="1:15" ht="14.25" customHeight="1">
      <c r="A69" s="16" t="s">
        <v>58</v>
      </c>
      <c r="B69" s="17" t="s">
        <v>59</v>
      </c>
      <c r="C69" s="18">
        <f t="shared" si="5"/>
        <v>229000</v>
      </c>
      <c r="D69" s="18">
        <f>SUM(D70)</f>
        <v>220000</v>
      </c>
      <c r="E69" s="45">
        <f>SUM(E70)</f>
        <v>9000</v>
      </c>
      <c r="I69" s="33"/>
      <c r="K69" s="33"/>
      <c r="M69" s="33"/>
      <c r="O69" s="33"/>
    </row>
    <row r="70" spans="1:13" ht="12.75">
      <c r="A70" s="20"/>
      <c r="B70" s="21" t="s">
        <v>19</v>
      </c>
      <c r="C70" s="22">
        <f t="shared" si="5"/>
        <v>229000</v>
      </c>
      <c r="D70" s="22">
        <v>220000</v>
      </c>
      <c r="E70" s="48">
        <v>9000</v>
      </c>
      <c r="I70" s="33"/>
      <c r="M70" s="33"/>
    </row>
    <row r="71" spans="1:5" ht="12.75">
      <c r="A71" s="16" t="s">
        <v>61</v>
      </c>
      <c r="B71" s="17" t="s">
        <v>62</v>
      </c>
      <c r="C71" s="18">
        <f t="shared" si="5"/>
        <v>85000</v>
      </c>
      <c r="D71" s="18">
        <f>SUM(D72)</f>
        <v>85000</v>
      </c>
      <c r="E71" s="18">
        <f>SUM(E72)</f>
        <v>0</v>
      </c>
    </row>
    <row r="72" spans="1:5" ht="12.75">
      <c r="A72" s="20"/>
      <c r="B72" s="21" t="s">
        <v>281</v>
      </c>
      <c r="C72" s="22">
        <f t="shared" si="5"/>
        <v>85000</v>
      </c>
      <c r="D72" s="22">
        <v>85000</v>
      </c>
      <c r="E72" s="22">
        <v>0</v>
      </c>
    </row>
    <row r="73" spans="1:5" ht="12.75">
      <c r="A73" s="16" t="s">
        <v>291</v>
      </c>
      <c r="B73" s="17" t="s">
        <v>14</v>
      </c>
      <c r="C73" s="18">
        <f t="shared" si="5"/>
        <v>40000</v>
      </c>
      <c r="D73" s="18">
        <f>SUM(D74)</f>
        <v>40000</v>
      </c>
      <c r="E73" s="18">
        <v>0</v>
      </c>
    </row>
    <row r="74" spans="1:5" ht="12.75">
      <c r="A74" s="16"/>
      <c r="B74" s="17" t="s">
        <v>280</v>
      </c>
      <c r="C74" s="18">
        <f t="shared" si="5"/>
        <v>40000</v>
      </c>
      <c r="D74" s="18">
        <v>40000</v>
      </c>
      <c r="E74" s="18">
        <v>0</v>
      </c>
    </row>
    <row r="75" spans="1:5" ht="12.75">
      <c r="A75" s="16"/>
      <c r="B75" s="17" t="s">
        <v>67</v>
      </c>
      <c r="C75" s="18"/>
      <c r="D75" s="18"/>
      <c r="E75" s="18"/>
    </row>
    <row r="76" spans="1:5" ht="12.75">
      <c r="A76" s="20"/>
      <c r="B76" s="21" t="s">
        <v>35</v>
      </c>
      <c r="C76" s="22">
        <f>SUM(D76,E76)</f>
        <v>5000</v>
      </c>
      <c r="D76" s="22">
        <f>600+4400</f>
        <v>5000</v>
      </c>
      <c r="E76" s="22">
        <v>0</v>
      </c>
    </row>
    <row r="77" spans="1:5" ht="12.75">
      <c r="A77" s="23" t="s">
        <v>63</v>
      </c>
      <c r="B77" s="24" t="s">
        <v>64</v>
      </c>
      <c r="C77" s="25">
        <f>SUM(D77,E77)</f>
        <v>20953319</v>
      </c>
      <c r="D77" s="26">
        <f>SUM(D78,D82,D86,D90,D97,D95)</f>
        <v>19117696</v>
      </c>
      <c r="E77" s="26">
        <f>SUM(E78,E82,E86,E90,E97)</f>
        <v>1835623</v>
      </c>
    </row>
    <row r="78" spans="1:5" ht="12.75">
      <c r="A78" s="16" t="s">
        <v>65</v>
      </c>
      <c r="B78" s="17" t="s">
        <v>66</v>
      </c>
      <c r="C78" s="18">
        <f>SUM(D78,E78)</f>
        <v>806900</v>
      </c>
      <c r="D78" s="18">
        <f>SUM(D79)</f>
        <v>806900</v>
      </c>
      <c r="E78" s="18">
        <f>SUM(E79)</f>
        <v>0</v>
      </c>
    </row>
    <row r="79" spans="1:5" ht="12.75">
      <c r="A79" s="16"/>
      <c r="B79" s="17" t="s">
        <v>281</v>
      </c>
      <c r="C79" s="18">
        <f>SUM(D79,E79)</f>
        <v>806900</v>
      </c>
      <c r="D79" s="18">
        <v>806900</v>
      </c>
      <c r="E79" s="18">
        <v>0</v>
      </c>
    </row>
    <row r="80" spans="1:5" ht="12.75">
      <c r="A80" s="16"/>
      <c r="B80" s="17" t="s">
        <v>67</v>
      </c>
      <c r="C80" s="18"/>
      <c r="D80" s="18"/>
      <c r="E80" s="18"/>
    </row>
    <row r="81" spans="1:5" ht="12.75">
      <c r="A81" s="20"/>
      <c r="B81" s="21" t="s">
        <v>35</v>
      </c>
      <c r="C81" s="22">
        <f>SUM(D81,E81)</f>
        <v>795100</v>
      </c>
      <c r="D81" s="22">
        <v>795100</v>
      </c>
      <c r="E81" s="22">
        <v>0</v>
      </c>
    </row>
    <row r="82" spans="1:5" ht="12.75">
      <c r="A82" s="13" t="s">
        <v>68</v>
      </c>
      <c r="B82" s="14" t="s">
        <v>69</v>
      </c>
      <c r="C82" s="15">
        <f>SUM(D82,E82)</f>
        <v>2127823</v>
      </c>
      <c r="D82" s="15">
        <f>SUM(D83)</f>
        <v>292200</v>
      </c>
      <c r="E82" s="15">
        <f>SUM(E83)</f>
        <v>1835623</v>
      </c>
    </row>
    <row r="83" spans="1:5" ht="12.75">
      <c r="A83" s="16"/>
      <c r="B83" s="17" t="s">
        <v>279</v>
      </c>
      <c r="C83" s="18">
        <f>SUM(D83,E83)</f>
        <v>2127823</v>
      </c>
      <c r="D83" s="18">
        <v>292200</v>
      </c>
      <c r="E83" s="45">
        <f>1835278+345</f>
        <v>1835623</v>
      </c>
    </row>
    <row r="84" spans="1:5" ht="12.75">
      <c r="A84" s="16"/>
      <c r="B84" s="17" t="s">
        <v>67</v>
      </c>
      <c r="C84" s="18"/>
      <c r="D84" s="18"/>
      <c r="E84" s="18"/>
    </row>
    <row r="85" spans="1:5" ht="12.75">
      <c r="A85" s="20"/>
      <c r="B85" s="21" t="s">
        <v>35</v>
      </c>
      <c r="C85" s="22">
        <f>SUM(D85,E85)</f>
        <v>884900</v>
      </c>
      <c r="D85" s="22">
        <v>287000</v>
      </c>
      <c r="E85" s="22">
        <v>597900</v>
      </c>
    </row>
    <row r="86" spans="1:5" ht="13.5" customHeight="1">
      <c r="A86" s="16" t="s">
        <v>70</v>
      </c>
      <c r="B86" s="17" t="s">
        <v>71</v>
      </c>
      <c r="C86" s="30">
        <f>SUM(D86,E86)</f>
        <v>619700</v>
      </c>
      <c r="D86" s="30">
        <f>SUM(D87)</f>
        <v>619700</v>
      </c>
      <c r="E86" s="30">
        <f>SUM(E87)</f>
        <v>0</v>
      </c>
    </row>
    <row r="87" spans="1:5" ht="12.75">
      <c r="A87" s="16"/>
      <c r="B87" s="17" t="s">
        <v>319</v>
      </c>
      <c r="C87" s="18">
        <f>SUM(D87,E87)</f>
        <v>619700</v>
      </c>
      <c r="D87" s="18">
        <f>614700+5000</f>
        <v>619700</v>
      </c>
      <c r="E87" s="18">
        <v>0</v>
      </c>
    </row>
    <row r="88" spans="1:5" ht="12.75">
      <c r="A88" s="16"/>
      <c r="B88" s="17" t="s">
        <v>67</v>
      </c>
      <c r="C88" s="18"/>
      <c r="D88" s="18"/>
      <c r="E88" s="18"/>
    </row>
    <row r="89" spans="1:5" ht="12.75">
      <c r="A89" s="20"/>
      <c r="B89" s="21" t="s">
        <v>35</v>
      </c>
      <c r="C89" s="22">
        <f>SUM(D89,E89)</f>
        <v>11800</v>
      </c>
      <c r="D89" s="22">
        <f>3800+8000</f>
        <v>11800</v>
      </c>
      <c r="E89" s="22">
        <v>0</v>
      </c>
    </row>
    <row r="90" spans="1:5" ht="14.25" customHeight="1">
      <c r="A90" s="16" t="s">
        <v>72</v>
      </c>
      <c r="B90" s="17" t="s">
        <v>73</v>
      </c>
      <c r="C90" s="30">
        <f>SUM(D90,E90)</f>
        <v>16697896</v>
      </c>
      <c r="D90" s="30">
        <f>SUM(D91,D94)</f>
        <v>16697896</v>
      </c>
      <c r="E90" s="30">
        <f>SUM(E91)</f>
        <v>0</v>
      </c>
    </row>
    <row r="91" spans="1:5" ht="12.75">
      <c r="A91" s="16"/>
      <c r="B91" s="17" t="s">
        <v>19</v>
      </c>
      <c r="C91" s="18">
        <f>SUM(D91,E91)</f>
        <v>15647896</v>
      </c>
      <c r="D91" s="45">
        <f>15647100+796</f>
        <v>15647896</v>
      </c>
      <c r="E91" s="18">
        <v>0</v>
      </c>
    </row>
    <row r="92" spans="1:5" ht="12.75">
      <c r="A92" s="16"/>
      <c r="B92" s="17" t="s">
        <v>67</v>
      </c>
      <c r="C92" s="18"/>
      <c r="D92" s="18"/>
      <c r="E92" s="18"/>
    </row>
    <row r="93" spans="1:5" ht="12.75">
      <c r="A93" s="16"/>
      <c r="B93" s="17" t="s">
        <v>35</v>
      </c>
      <c r="C93" s="18">
        <f aca="true" t="shared" si="6" ref="C93:C98">SUM(D93,E93)</f>
        <v>12878900</v>
      </c>
      <c r="D93" s="18">
        <f>12875000+3000+900</f>
        <v>12878900</v>
      </c>
      <c r="E93" s="18">
        <v>0</v>
      </c>
    </row>
    <row r="94" spans="1:6" s="47" customFormat="1" ht="12.75">
      <c r="A94" s="61"/>
      <c r="B94" s="62" t="s">
        <v>26</v>
      </c>
      <c r="C94" s="48">
        <f t="shared" si="6"/>
        <v>1050000</v>
      </c>
      <c r="D94" s="48">
        <f>1350000-300000</f>
        <v>1050000</v>
      </c>
      <c r="E94" s="48">
        <v>0</v>
      </c>
      <c r="F94" s="46"/>
    </row>
    <row r="95" spans="1:6" s="47" customFormat="1" ht="13.5" customHeight="1">
      <c r="A95" s="44" t="s">
        <v>292</v>
      </c>
      <c r="B95" s="63" t="s">
        <v>293</v>
      </c>
      <c r="C95" s="18">
        <f t="shared" si="6"/>
        <v>542000</v>
      </c>
      <c r="D95" s="45">
        <f>SUM(D96)</f>
        <v>542000</v>
      </c>
      <c r="E95" s="45">
        <v>0</v>
      </c>
      <c r="F95" s="46"/>
    </row>
    <row r="96" spans="1:6" s="47" customFormat="1" ht="13.5" customHeight="1">
      <c r="A96" s="61"/>
      <c r="B96" s="62" t="s">
        <v>280</v>
      </c>
      <c r="C96" s="22">
        <f t="shared" si="6"/>
        <v>542000</v>
      </c>
      <c r="D96" s="48">
        <f>232000+10000+300000</f>
        <v>542000</v>
      </c>
      <c r="E96" s="48">
        <v>0</v>
      </c>
      <c r="F96" s="46"/>
    </row>
    <row r="97" spans="1:5" ht="12.75">
      <c r="A97" s="16" t="s">
        <v>74</v>
      </c>
      <c r="B97" s="17" t="s">
        <v>14</v>
      </c>
      <c r="C97" s="18">
        <f t="shared" si="6"/>
        <v>159000</v>
      </c>
      <c r="D97" s="18">
        <f>SUM(D98)</f>
        <v>159000</v>
      </c>
      <c r="E97" s="18">
        <f>SUM(E98)</f>
        <v>0</v>
      </c>
    </row>
    <row r="98" spans="1:5" ht="12.75">
      <c r="A98" s="16"/>
      <c r="B98" s="17" t="s">
        <v>19</v>
      </c>
      <c r="C98" s="18">
        <f t="shared" si="6"/>
        <v>159000</v>
      </c>
      <c r="D98" s="18">
        <v>159000</v>
      </c>
      <c r="E98" s="18">
        <v>0</v>
      </c>
    </row>
    <row r="99" spans="1:5" ht="12.75">
      <c r="A99" s="16"/>
      <c r="B99" s="17" t="s">
        <v>34</v>
      </c>
      <c r="C99" s="18"/>
      <c r="D99" s="18"/>
      <c r="E99" s="18"/>
    </row>
    <row r="100" spans="1:5" ht="12.75">
      <c r="A100" s="20"/>
      <c r="B100" s="21" t="s">
        <v>320</v>
      </c>
      <c r="C100" s="22">
        <f>SUM(D100,E100)</f>
        <v>24200</v>
      </c>
      <c r="D100" s="22">
        <f>800+200+4200+19000</f>
        <v>24200</v>
      </c>
      <c r="E100" s="22">
        <v>0</v>
      </c>
    </row>
    <row r="101" spans="1:5" ht="25.5">
      <c r="A101" s="23" t="s">
        <v>76</v>
      </c>
      <c r="B101" s="24" t="s">
        <v>77</v>
      </c>
      <c r="C101" s="29">
        <f>SUM(D101,E101)</f>
        <v>2758051</v>
      </c>
      <c r="D101" s="29">
        <f>SUM(D102,D107,D110,D115,D119,D123,D127,D129)</f>
        <v>2747751</v>
      </c>
      <c r="E101" s="29">
        <f>SUM(E102,E107,E110,E115,E119,E123,E127,E129)</f>
        <v>10300</v>
      </c>
    </row>
    <row r="102" spans="1:6" s="47" customFormat="1" ht="12.75">
      <c r="A102" s="44" t="s">
        <v>78</v>
      </c>
      <c r="B102" s="63" t="s">
        <v>79</v>
      </c>
      <c r="C102" s="45">
        <f>SUM(D102,E102)</f>
        <v>196000</v>
      </c>
      <c r="D102" s="45">
        <f>SUM(D103,D106)</f>
        <v>196000</v>
      </c>
      <c r="E102" s="45">
        <v>0</v>
      </c>
      <c r="F102" s="46"/>
    </row>
    <row r="103" spans="1:6" s="47" customFormat="1" ht="12.75">
      <c r="A103" s="44"/>
      <c r="B103" s="63" t="s">
        <v>280</v>
      </c>
      <c r="C103" s="45">
        <f>SUM(D103,E103)</f>
        <v>96000</v>
      </c>
      <c r="D103" s="45">
        <v>96000</v>
      </c>
      <c r="E103" s="45">
        <v>0</v>
      </c>
      <c r="F103" s="46"/>
    </row>
    <row r="104" spans="1:6" s="47" customFormat="1" ht="12.75">
      <c r="A104" s="44"/>
      <c r="B104" s="63" t="s">
        <v>34</v>
      </c>
      <c r="C104" s="45"/>
      <c r="D104" s="45"/>
      <c r="E104" s="45"/>
      <c r="F104" s="46"/>
    </row>
    <row r="105" spans="1:6" s="47" customFormat="1" ht="12.75">
      <c r="A105" s="44"/>
      <c r="B105" s="63" t="s">
        <v>337</v>
      </c>
      <c r="C105" s="45">
        <f>SUM(D105,E105)</f>
        <v>96000</v>
      </c>
      <c r="D105" s="45">
        <v>96000</v>
      </c>
      <c r="E105" s="45">
        <v>0</v>
      </c>
      <c r="F105" s="90"/>
    </row>
    <row r="106" spans="1:6" s="47" customFormat="1" ht="12.75">
      <c r="A106" s="61"/>
      <c r="B106" s="62" t="s">
        <v>26</v>
      </c>
      <c r="C106" s="48">
        <f>SUM(D106,E106)</f>
        <v>100000</v>
      </c>
      <c r="D106" s="48">
        <v>100000</v>
      </c>
      <c r="E106" s="48">
        <v>0</v>
      </c>
      <c r="F106" s="90"/>
    </row>
    <row r="107" spans="1:6" s="47" customFormat="1" ht="12.75">
      <c r="A107" s="44" t="s">
        <v>80</v>
      </c>
      <c r="B107" s="63" t="s">
        <v>81</v>
      </c>
      <c r="C107" s="45">
        <f>SUM(D107,E107)</f>
        <v>200000</v>
      </c>
      <c r="D107" s="45">
        <f>SUM(D109)</f>
        <v>200000</v>
      </c>
      <c r="E107" s="45">
        <f>SUM(E109)</f>
        <v>0</v>
      </c>
      <c r="F107" s="46"/>
    </row>
    <row r="108" spans="1:6" s="47" customFormat="1" ht="12.75">
      <c r="A108" s="44"/>
      <c r="B108" s="63" t="s">
        <v>82</v>
      </c>
      <c r="C108" s="45"/>
      <c r="D108" s="45"/>
      <c r="E108" s="45"/>
      <c r="F108" s="46"/>
    </row>
    <row r="109" spans="1:6" s="47" customFormat="1" ht="12.75">
      <c r="A109" s="61"/>
      <c r="B109" s="62" t="s">
        <v>26</v>
      </c>
      <c r="C109" s="48">
        <f>SUM(D109,E109)</f>
        <v>200000</v>
      </c>
      <c r="D109" s="48">
        <v>200000</v>
      </c>
      <c r="E109" s="48">
        <v>0</v>
      </c>
      <c r="F109" s="46"/>
    </row>
    <row r="110" spans="1:5" ht="12.75">
      <c r="A110" s="16" t="s">
        <v>83</v>
      </c>
      <c r="B110" s="17" t="s">
        <v>84</v>
      </c>
      <c r="C110" s="18">
        <f>SUM(D110,E110)</f>
        <v>106800</v>
      </c>
      <c r="D110" s="18">
        <f>SUM(D111,D114)</f>
        <v>106800</v>
      </c>
      <c r="E110" s="18">
        <f>SUM(E111)</f>
        <v>0</v>
      </c>
    </row>
    <row r="111" spans="1:5" ht="12.75">
      <c r="A111" s="16"/>
      <c r="B111" s="17" t="s">
        <v>316</v>
      </c>
      <c r="C111" s="18">
        <f>SUM(D111,E111)</f>
        <v>82000</v>
      </c>
      <c r="D111" s="18">
        <v>82000</v>
      </c>
      <c r="E111" s="18">
        <v>0</v>
      </c>
    </row>
    <row r="112" spans="1:5" ht="12.75">
      <c r="A112" s="16"/>
      <c r="B112" s="17" t="s">
        <v>67</v>
      </c>
      <c r="C112" s="18"/>
      <c r="D112" s="18"/>
      <c r="E112" s="18"/>
    </row>
    <row r="113" spans="1:5" ht="12.75">
      <c r="A113" s="16"/>
      <c r="B113" s="17" t="s">
        <v>35</v>
      </c>
      <c r="C113" s="18">
        <f>SUM(D113,E113)</f>
        <v>6000</v>
      </c>
      <c r="D113" s="18">
        <v>6000</v>
      </c>
      <c r="E113" s="18">
        <v>0</v>
      </c>
    </row>
    <row r="114" spans="1:6" s="47" customFormat="1" ht="12.75">
      <c r="A114" s="61"/>
      <c r="B114" s="62" t="s">
        <v>26</v>
      </c>
      <c r="C114" s="48">
        <f>SUM(D114,E114)</f>
        <v>24800</v>
      </c>
      <c r="D114" s="48">
        <v>24800</v>
      </c>
      <c r="E114" s="48">
        <v>0</v>
      </c>
      <c r="F114" s="46"/>
    </row>
    <row r="115" spans="1:5" ht="12.75">
      <c r="A115" s="13" t="s">
        <v>85</v>
      </c>
      <c r="B115" s="14" t="s">
        <v>86</v>
      </c>
      <c r="C115" s="15">
        <f>SUM(D115,E115)</f>
        <v>39100</v>
      </c>
      <c r="D115" s="15">
        <f>SUM(D116)</f>
        <v>39100</v>
      </c>
      <c r="E115" s="15">
        <f>SUM(E116)</f>
        <v>0</v>
      </c>
    </row>
    <row r="116" spans="1:5" ht="12.75">
      <c r="A116" s="16"/>
      <c r="B116" s="17" t="s">
        <v>321</v>
      </c>
      <c r="C116" s="18">
        <f>SUM(D116,E116)</f>
        <v>39100</v>
      </c>
      <c r="D116" s="18">
        <v>39100</v>
      </c>
      <c r="E116" s="18">
        <v>0</v>
      </c>
    </row>
    <row r="117" spans="1:5" ht="12.75">
      <c r="A117" s="16"/>
      <c r="B117" s="17" t="s">
        <v>34</v>
      </c>
      <c r="C117" s="18"/>
      <c r="D117" s="18"/>
      <c r="E117" s="18"/>
    </row>
    <row r="118" spans="1:5" ht="12.75">
      <c r="A118" s="20"/>
      <c r="B118" s="21" t="s">
        <v>75</v>
      </c>
      <c r="C118" s="22">
        <f>SUM(D118,E118)</f>
        <v>3500</v>
      </c>
      <c r="D118" s="22">
        <f>500+3000</f>
        <v>3500</v>
      </c>
      <c r="E118" s="22">
        <v>0</v>
      </c>
    </row>
    <row r="119" spans="1:5" ht="14.25" customHeight="1">
      <c r="A119" s="16" t="s">
        <v>87</v>
      </c>
      <c r="B119" s="17" t="s">
        <v>88</v>
      </c>
      <c r="C119" s="18">
        <f>SUM(D119,E119)</f>
        <v>10000</v>
      </c>
      <c r="D119" s="18">
        <f>SUM(D120)</f>
        <v>4700</v>
      </c>
      <c r="E119" s="18">
        <f>SUM(E120)</f>
        <v>5300</v>
      </c>
    </row>
    <row r="120" spans="1:5" ht="12.75">
      <c r="A120" s="16"/>
      <c r="B120" s="17" t="s">
        <v>280</v>
      </c>
      <c r="C120" s="18">
        <f>SUM(D120,E120)</f>
        <v>10000</v>
      </c>
      <c r="D120" s="18">
        <v>4700</v>
      </c>
      <c r="E120" s="18">
        <v>5300</v>
      </c>
    </row>
    <row r="121" spans="1:5" ht="12.75">
      <c r="A121" s="16"/>
      <c r="B121" s="17" t="s">
        <v>34</v>
      </c>
      <c r="C121" s="18"/>
      <c r="D121" s="18"/>
      <c r="E121" s="18"/>
    </row>
    <row r="122" spans="1:5" ht="12.75">
      <c r="A122" s="20"/>
      <c r="B122" s="21" t="s">
        <v>337</v>
      </c>
      <c r="C122" s="22">
        <f>SUM(D122,E122)</f>
        <v>10000</v>
      </c>
      <c r="D122" s="22">
        <v>4700</v>
      </c>
      <c r="E122" s="22">
        <v>5300</v>
      </c>
    </row>
    <row r="123" spans="1:5" ht="12.75">
      <c r="A123" s="16" t="s">
        <v>90</v>
      </c>
      <c r="B123" s="17" t="s">
        <v>91</v>
      </c>
      <c r="C123" s="18">
        <f>SUM(D123,E123)</f>
        <v>2075751</v>
      </c>
      <c r="D123" s="18">
        <f>SUM(D124)</f>
        <v>2075751</v>
      </c>
      <c r="E123" s="18">
        <f>SUM(E124)</f>
        <v>0</v>
      </c>
    </row>
    <row r="124" spans="1:5" ht="12.75">
      <c r="A124" s="16"/>
      <c r="B124" s="17" t="s">
        <v>316</v>
      </c>
      <c r="C124" s="18">
        <f>SUM(D124,E124)</f>
        <v>2075751</v>
      </c>
      <c r="D124" s="18">
        <v>2075751</v>
      </c>
      <c r="E124" s="18">
        <v>0</v>
      </c>
    </row>
    <row r="125" spans="1:5" ht="12.75">
      <c r="A125" s="16"/>
      <c r="B125" s="17" t="s">
        <v>34</v>
      </c>
      <c r="C125" s="18"/>
      <c r="D125" s="18"/>
      <c r="E125" s="18"/>
    </row>
    <row r="126" spans="1:5" ht="12.75">
      <c r="A126" s="16"/>
      <c r="B126" s="17" t="s">
        <v>75</v>
      </c>
      <c r="C126" s="18">
        <f>SUM(D126,E126)</f>
        <v>1805127</v>
      </c>
      <c r="D126" s="18">
        <f>1802533+2594</f>
        <v>1805127</v>
      </c>
      <c r="E126" s="18">
        <v>0</v>
      </c>
    </row>
    <row r="127" spans="1:5" ht="13.5" customHeight="1">
      <c r="A127" s="13" t="s">
        <v>92</v>
      </c>
      <c r="B127" s="14" t="s">
        <v>93</v>
      </c>
      <c r="C127" s="15">
        <f>SUM(D127,E127)</f>
        <v>9400</v>
      </c>
      <c r="D127" s="15">
        <f>SUM(D128)</f>
        <v>9400</v>
      </c>
      <c r="E127" s="15">
        <f>SUM(E128)</f>
        <v>0</v>
      </c>
    </row>
    <row r="128" spans="1:5" ht="12.75">
      <c r="A128" s="20"/>
      <c r="B128" s="21" t="s">
        <v>316</v>
      </c>
      <c r="C128" s="22">
        <f>SUM(D128,E128)</f>
        <v>9400</v>
      </c>
      <c r="D128" s="22">
        <v>9400</v>
      </c>
      <c r="E128" s="22">
        <v>0</v>
      </c>
    </row>
    <row r="129" spans="1:5" ht="12.75">
      <c r="A129" s="16" t="s">
        <v>94</v>
      </c>
      <c r="B129" s="17" t="s">
        <v>14</v>
      </c>
      <c r="C129" s="18">
        <f>SUM(D129,E129)</f>
        <v>121000</v>
      </c>
      <c r="D129" s="18">
        <f>SUM(D130,D134)</f>
        <v>116000</v>
      </c>
      <c r="E129" s="18">
        <f>SUM(E130,E134)</f>
        <v>5000</v>
      </c>
    </row>
    <row r="130" spans="1:5" ht="12.75">
      <c r="A130" s="16"/>
      <c r="B130" s="17" t="s">
        <v>19</v>
      </c>
      <c r="C130" s="18">
        <f>SUM(D130,E130)</f>
        <v>74500</v>
      </c>
      <c r="D130" s="18">
        <v>69500</v>
      </c>
      <c r="E130" s="18">
        <v>5000</v>
      </c>
    </row>
    <row r="131" spans="1:5" ht="12.75">
      <c r="A131" s="16"/>
      <c r="B131" s="17" t="s">
        <v>34</v>
      </c>
      <c r="C131" s="18"/>
      <c r="D131" s="18"/>
      <c r="E131" s="18"/>
    </row>
    <row r="132" spans="1:5" ht="12.75">
      <c r="A132" s="16"/>
      <c r="B132" s="17" t="s">
        <v>322</v>
      </c>
      <c r="C132" s="18">
        <f aca="true" t="shared" si="7" ref="C132:C137">SUM(D132,E132)</f>
        <v>500</v>
      </c>
      <c r="D132" s="18">
        <v>500</v>
      </c>
      <c r="E132" s="18">
        <v>0</v>
      </c>
    </row>
    <row r="133" spans="1:5" ht="12.75">
      <c r="A133" s="16"/>
      <c r="B133" s="17" t="s">
        <v>323</v>
      </c>
      <c r="C133" s="18">
        <f t="shared" si="7"/>
        <v>5000</v>
      </c>
      <c r="D133" s="18">
        <v>0</v>
      </c>
      <c r="E133" s="18">
        <v>5000</v>
      </c>
    </row>
    <row r="134" spans="1:6" s="47" customFormat="1" ht="12.75">
      <c r="A134" s="61"/>
      <c r="B134" s="62" t="s">
        <v>26</v>
      </c>
      <c r="C134" s="48">
        <f t="shared" si="7"/>
        <v>46500</v>
      </c>
      <c r="D134" s="48">
        <v>46500</v>
      </c>
      <c r="E134" s="48">
        <v>0</v>
      </c>
      <c r="F134" s="46"/>
    </row>
    <row r="135" spans="1:5" ht="53.25" customHeight="1">
      <c r="A135" s="32" t="s">
        <v>95</v>
      </c>
      <c r="B135" s="34" t="s">
        <v>339</v>
      </c>
      <c r="C135" s="28">
        <f t="shared" si="7"/>
        <v>675000</v>
      </c>
      <c r="D135" s="27">
        <f>SUM(D136)</f>
        <v>675000</v>
      </c>
      <c r="E135" s="27">
        <f>SUM(E136)</f>
        <v>0</v>
      </c>
    </row>
    <row r="136" spans="1:6" ht="25.5" customHeight="1">
      <c r="A136" s="16" t="s">
        <v>96</v>
      </c>
      <c r="B136" s="17" t="s">
        <v>97</v>
      </c>
      <c r="C136" s="31">
        <f t="shared" si="7"/>
        <v>675000</v>
      </c>
      <c r="D136" s="30">
        <f>SUM(D137)</f>
        <v>675000</v>
      </c>
      <c r="E136" s="30">
        <f>SUM(E137)</f>
        <v>0</v>
      </c>
      <c r="F136" s="81"/>
    </row>
    <row r="137" spans="1:6" ht="14.25" customHeight="1">
      <c r="A137" s="16"/>
      <c r="B137" s="17" t="s">
        <v>280</v>
      </c>
      <c r="C137" s="18">
        <f t="shared" si="7"/>
        <v>675000</v>
      </c>
      <c r="D137" s="18">
        <f>720000+15000+20000-80000</f>
        <v>675000</v>
      </c>
      <c r="E137" s="18">
        <v>0</v>
      </c>
      <c r="F137" s="81"/>
    </row>
    <row r="138" spans="1:5" ht="12.75">
      <c r="A138" s="16"/>
      <c r="B138" s="17" t="s">
        <v>34</v>
      </c>
      <c r="C138" s="18"/>
      <c r="D138" s="18"/>
      <c r="E138" s="18"/>
    </row>
    <row r="139" spans="1:6" ht="12.75">
      <c r="A139" s="20"/>
      <c r="B139" s="21" t="s">
        <v>75</v>
      </c>
      <c r="C139" s="22">
        <f>SUM(D139,E139)</f>
        <v>201000</v>
      </c>
      <c r="D139" s="22">
        <f>181000+20000</f>
        <v>201000</v>
      </c>
      <c r="E139" s="22">
        <v>0</v>
      </c>
      <c r="F139" s="81"/>
    </row>
    <row r="140" spans="1:5" ht="12.75">
      <c r="A140" s="23" t="s">
        <v>98</v>
      </c>
      <c r="B140" s="24" t="s">
        <v>99</v>
      </c>
      <c r="C140" s="25">
        <f>SUM(D140,E140)</f>
        <v>3065180</v>
      </c>
      <c r="D140" s="26">
        <f>SUM(D141)</f>
        <v>2143674</v>
      </c>
      <c r="E140" s="26">
        <f>SUM(E141)</f>
        <v>921506</v>
      </c>
    </row>
    <row r="141" spans="1:5" ht="29.25" customHeight="1">
      <c r="A141" s="16" t="s">
        <v>100</v>
      </c>
      <c r="B141" s="17" t="s">
        <v>305</v>
      </c>
      <c r="C141" s="18">
        <f>SUM(D141,E141)</f>
        <v>3065180</v>
      </c>
      <c r="D141" s="18">
        <f>SUM(D142)</f>
        <v>2143674</v>
      </c>
      <c r="E141" s="18">
        <f>SUM(E142)</f>
        <v>921506</v>
      </c>
    </row>
    <row r="142" spans="1:5" ht="12.75">
      <c r="A142" s="16"/>
      <c r="B142" s="17" t="s">
        <v>319</v>
      </c>
      <c r="C142" s="18">
        <f>SUM(D142,E142)</f>
        <v>3065180</v>
      </c>
      <c r="D142" s="18">
        <f>2191156-47482</f>
        <v>2143674</v>
      </c>
      <c r="E142" s="18">
        <f>1108851-187345</f>
        <v>921506</v>
      </c>
    </row>
    <row r="143" spans="1:5" ht="12.75">
      <c r="A143" s="16"/>
      <c r="B143" s="17" t="s">
        <v>34</v>
      </c>
      <c r="C143" s="18"/>
      <c r="D143" s="18"/>
      <c r="E143" s="18"/>
    </row>
    <row r="144" spans="1:5" ht="12.75">
      <c r="A144" s="20"/>
      <c r="B144" s="21" t="s">
        <v>101</v>
      </c>
      <c r="C144" s="22">
        <f>SUM(D144,E144)</f>
        <v>3065180</v>
      </c>
      <c r="D144" s="22">
        <f>2191156-47482</f>
        <v>2143674</v>
      </c>
      <c r="E144" s="22">
        <f>1108851-187345</f>
        <v>921506</v>
      </c>
    </row>
    <row r="145" spans="1:5" ht="12.75">
      <c r="A145" s="23" t="s">
        <v>102</v>
      </c>
      <c r="B145" s="24" t="s">
        <v>103</v>
      </c>
      <c r="C145" s="25">
        <f>SUM(D145,E145)</f>
        <v>1938100</v>
      </c>
      <c r="D145" s="26">
        <f>SUM(D150,D146)</f>
        <v>840000</v>
      </c>
      <c r="E145" s="26">
        <f>SUM(E150,E146)</f>
        <v>1098100</v>
      </c>
    </row>
    <row r="146" spans="1:6" s="3" customFormat="1" ht="12.75">
      <c r="A146" s="16" t="s">
        <v>296</v>
      </c>
      <c r="B146" s="17" t="s">
        <v>284</v>
      </c>
      <c r="C146" s="18">
        <f>SUM(D146,E146)</f>
        <v>911100</v>
      </c>
      <c r="D146" s="18">
        <f>SUM(D147)</f>
        <v>0</v>
      </c>
      <c r="E146" s="45">
        <f>SUM(E147)</f>
        <v>911100</v>
      </c>
      <c r="F146" s="5"/>
    </row>
    <row r="147" spans="1:6" s="3" customFormat="1" ht="12.75">
      <c r="A147" s="16"/>
      <c r="B147" s="17" t="s">
        <v>19</v>
      </c>
      <c r="C147" s="18">
        <f>SUM(D147,E147)</f>
        <v>911100</v>
      </c>
      <c r="D147" s="18">
        <v>0</v>
      </c>
      <c r="E147" s="45">
        <v>911100</v>
      </c>
      <c r="F147" s="5"/>
    </row>
    <row r="148" spans="1:6" s="3" customFormat="1" ht="12.75">
      <c r="A148" s="16"/>
      <c r="B148" s="17" t="s">
        <v>11</v>
      </c>
      <c r="C148" s="18"/>
      <c r="D148" s="18"/>
      <c r="E148" s="45"/>
      <c r="F148" s="5"/>
    </row>
    <row r="149" spans="1:6" s="3" customFormat="1" ht="12.75">
      <c r="A149" s="20"/>
      <c r="B149" s="21" t="s">
        <v>12</v>
      </c>
      <c r="C149" s="22">
        <f aca="true" t="shared" si="8" ref="C149:C154">SUM(D149,E149)</f>
        <v>911100</v>
      </c>
      <c r="D149" s="22">
        <v>0</v>
      </c>
      <c r="E149" s="48">
        <v>911100</v>
      </c>
      <c r="F149" s="5"/>
    </row>
    <row r="150" spans="1:6" ht="12.75">
      <c r="A150" s="16" t="s">
        <v>104</v>
      </c>
      <c r="B150" s="17" t="s">
        <v>105</v>
      </c>
      <c r="C150" s="18">
        <f t="shared" si="8"/>
        <v>1027000</v>
      </c>
      <c r="D150" s="45">
        <f>SUM(D151)</f>
        <v>840000</v>
      </c>
      <c r="E150" s="18">
        <f>SUM(E151)</f>
        <v>187000</v>
      </c>
      <c r="F150" s="81" t="s">
        <v>315</v>
      </c>
    </row>
    <row r="151" spans="1:6" ht="12.75">
      <c r="A151" s="16"/>
      <c r="B151" s="17" t="s">
        <v>319</v>
      </c>
      <c r="C151" s="18">
        <f t="shared" si="8"/>
        <v>1027000</v>
      </c>
      <c r="D151" s="45">
        <f>1974796-200000-7000-796+200000-1127000</f>
        <v>840000</v>
      </c>
      <c r="E151" s="45">
        <f>100000+200000+100000+187345-345-400000</f>
        <v>187000</v>
      </c>
      <c r="F151" s="81" t="s">
        <v>314</v>
      </c>
    </row>
    <row r="152" spans="1:5" ht="12.75">
      <c r="A152" s="23" t="s">
        <v>106</v>
      </c>
      <c r="B152" s="24" t="s">
        <v>107</v>
      </c>
      <c r="C152" s="26">
        <f t="shared" si="8"/>
        <v>119218557</v>
      </c>
      <c r="D152" s="26">
        <f>SUM(D153,D159,D167,D172,D178,D182,D184,D190,D194,D204,D208,D212,D216,D200,D163)</f>
        <v>68633207</v>
      </c>
      <c r="E152" s="26">
        <f>SUM(E153,E159,E167,E172,E178,E184,E190,E194,E204,E208,E212,E216,E182,E200)</f>
        <v>50585350</v>
      </c>
    </row>
    <row r="153" spans="1:5" ht="12.75">
      <c r="A153" s="16" t="s">
        <v>108</v>
      </c>
      <c r="B153" s="17" t="s">
        <v>109</v>
      </c>
      <c r="C153" s="18">
        <f t="shared" si="8"/>
        <v>34254004</v>
      </c>
      <c r="D153" s="18">
        <f>SUM(D154,D158)</f>
        <v>34254004</v>
      </c>
      <c r="E153" s="18">
        <f>SUM(E154,E158)</f>
        <v>0</v>
      </c>
    </row>
    <row r="154" spans="1:5" ht="12.75" customHeight="1">
      <c r="A154" s="16"/>
      <c r="B154" s="17" t="s">
        <v>280</v>
      </c>
      <c r="C154" s="18">
        <f t="shared" si="8"/>
        <v>27616920</v>
      </c>
      <c r="D154" s="18">
        <f>27341920+275000</f>
        <v>27616920</v>
      </c>
      <c r="E154" s="18">
        <v>0</v>
      </c>
    </row>
    <row r="155" spans="1:5" ht="12.75">
      <c r="A155" s="16"/>
      <c r="B155" s="17" t="s">
        <v>67</v>
      </c>
      <c r="C155" s="18"/>
      <c r="D155" s="18"/>
      <c r="E155" s="18"/>
    </row>
    <row r="156" spans="1:5" ht="12.75">
      <c r="A156" s="16"/>
      <c r="B156" s="17" t="s">
        <v>35</v>
      </c>
      <c r="C156" s="18">
        <f>SUM(D156,E156)</f>
        <v>22688379</v>
      </c>
      <c r="D156" s="18">
        <f>22410321+3058+275000</f>
        <v>22688379</v>
      </c>
      <c r="E156" s="18">
        <v>0</v>
      </c>
    </row>
    <row r="157" spans="1:5" ht="12.75">
      <c r="A157" s="16"/>
      <c r="B157" s="17" t="s">
        <v>89</v>
      </c>
      <c r="C157" s="18">
        <f>SUM(D157,E157)</f>
        <v>590891</v>
      </c>
      <c r="D157" s="18">
        <v>590891</v>
      </c>
      <c r="E157" s="18">
        <v>0</v>
      </c>
    </row>
    <row r="158" spans="1:6" s="47" customFormat="1" ht="12.75">
      <c r="A158" s="44"/>
      <c r="B158" s="63" t="s">
        <v>26</v>
      </c>
      <c r="C158" s="45">
        <f>SUM(D158,E158)</f>
        <v>6637084</v>
      </c>
      <c r="D158" s="45">
        <v>6637084</v>
      </c>
      <c r="E158" s="45">
        <v>0</v>
      </c>
      <c r="F158" s="46"/>
    </row>
    <row r="159" spans="1:5" ht="12.75">
      <c r="A159" s="13" t="s">
        <v>110</v>
      </c>
      <c r="B159" s="14" t="s">
        <v>111</v>
      </c>
      <c r="C159" s="15">
        <f>SUM(D159,E159)</f>
        <v>3491893</v>
      </c>
      <c r="D159" s="15">
        <f>SUM(D160)</f>
        <v>0</v>
      </c>
      <c r="E159" s="15">
        <f>SUM(E160)</f>
        <v>3491893</v>
      </c>
    </row>
    <row r="160" spans="1:5" ht="12.75">
      <c r="A160" s="16"/>
      <c r="B160" s="17" t="s">
        <v>280</v>
      </c>
      <c r="C160" s="18">
        <f>SUM(D160,E160)</f>
        <v>3491893</v>
      </c>
      <c r="D160" s="18">
        <v>0</v>
      </c>
      <c r="E160" s="18">
        <v>3491893</v>
      </c>
    </row>
    <row r="161" spans="1:5" ht="12.75">
      <c r="A161" s="16"/>
      <c r="B161" s="17" t="s">
        <v>67</v>
      </c>
      <c r="C161" s="18"/>
      <c r="D161" s="18"/>
      <c r="E161" s="18"/>
    </row>
    <row r="162" spans="1:5" ht="12.75">
      <c r="A162" s="20"/>
      <c r="B162" s="21" t="s">
        <v>35</v>
      </c>
      <c r="C162" s="22">
        <f>SUM(D162,E162)</f>
        <v>2918474</v>
      </c>
      <c r="D162" s="22">
        <v>0</v>
      </c>
      <c r="E162" s="22">
        <f>2917974+500</f>
        <v>2918474</v>
      </c>
    </row>
    <row r="163" spans="1:5" ht="15.75" customHeight="1">
      <c r="A163" s="16" t="s">
        <v>294</v>
      </c>
      <c r="B163" s="17" t="s">
        <v>295</v>
      </c>
      <c r="C163" s="15">
        <f>SUM(D163,E163)</f>
        <v>1082993</v>
      </c>
      <c r="D163" s="18">
        <f>SUM(D164)</f>
        <v>1082993</v>
      </c>
      <c r="E163" s="18">
        <v>0</v>
      </c>
    </row>
    <row r="164" spans="1:5" ht="12.75">
      <c r="A164" s="16"/>
      <c r="B164" s="17" t="s">
        <v>19</v>
      </c>
      <c r="C164" s="18">
        <f>SUM(D164,E164)</f>
        <v>1082993</v>
      </c>
      <c r="D164" s="18">
        <v>1082993</v>
      </c>
      <c r="E164" s="18">
        <v>0</v>
      </c>
    </row>
    <row r="165" spans="1:5" ht="12.75">
      <c r="A165" s="16"/>
      <c r="B165" s="17" t="s">
        <v>11</v>
      </c>
      <c r="C165" s="18"/>
      <c r="D165" s="18"/>
      <c r="E165" s="18"/>
    </row>
    <row r="166" spans="1:5" ht="12.75">
      <c r="A166" s="20"/>
      <c r="B166" s="21" t="s">
        <v>124</v>
      </c>
      <c r="C166" s="22">
        <f>SUM(D166,E166)</f>
        <v>1026005</v>
      </c>
      <c r="D166" s="22">
        <f>1026005</f>
        <v>1026005</v>
      </c>
      <c r="E166" s="22">
        <v>0</v>
      </c>
    </row>
    <row r="167" spans="1:5" ht="12.75">
      <c r="A167" s="16" t="s">
        <v>112</v>
      </c>
      <c r="B167" s="17" t="s">
        <v>113</v>
      </c>
      <c r="C167" s="18">
        <f>SUM(D167,E167)</f>
        <v>11667013</v>
      </c>
      <c r="D167" s="18">
        <f>SUM(D168)</f>
        <v>11667013</v>
      </c>
      <c r="E167" s="18">
        <f>SUM(E168)</f>
        <v>0</v>
      </c>
    </row>
    <row r="168" spans="1:5" ht="12.75">
      <c r="A168" s="16"/>
      <c r="B168" s="17" t="s">
        <v>33</v>
      </c>
      <c r="C168" s="18">
        <f>SUM(D168,E168)</f>
        <v>11667013</v>
      </c>
      <c r="D168" s="18">
        <v>11667013</v>
      </c>
      <c r="E168" s="18">
        <v>0</v>
      </c>
    </row>
    <row r="169" spans="1:5" ht="12.75">
      <c r="A169" s="16"/>
      <c r="B169" s="17" t="s">
        <v>67</v>
      </c>
      <c r="C169" s="18"/>
      <c r="D169" s="18"/>
      <c r="E169" s="18"/>
    </row>
    <row r="170" spans="1:5" ht="12.75">
      <c r="A170" s="16"/>
      <c r="B170" s="17" t="s">
        <v>35</v>
      </c>
      <c r="C170" s="18">
        <f>SUM(D170,E170)</f>
        <v>8278282</v>
      </c>
      <c r="D170" s="18">
        <f>8260362+17920</f>
        <v>8278282</v>
      </c>
      <c r="E170" s="18">
        <v>0</v>
      </c>
    </row>
    <row r="171" spans="1:5" ht="12.75">
      <c r="A171" s="20"/>
      <c r="B171" s="21" t="s">
        <v>12</v>
      </c>
      <c r="C171" s="22">
        <f>SUM(D171,E171)</f>
        <v>2901067</v>
      </c>
      <c r="D171" s="22">
        <v>2901067</v>
      </c>
      <c r="E171" s="22">
        <v>0</v>
      </c>
    </row>
    <row r="172" spans="1:5" ht="12.75">
      <c r="A172" s="16" t="s">
        <v>114</v>
      </c>
      <c r="B172" s="17" t="s">
        <v>115</v>
      </c>
      <c r="C172" s="18">
        <f>SUM(D172,E172)</f>
        <v>20594301</v>
      </c>
      <c r="D172" s="18">
        <f>SUM(D173,D177)</f>
        <v>20305658</v>
      </c>
      <c r="E172" s="18">
        <f>SUM(E173)</f>
        <v>288643</v>
      </c>
    </row>
    <row r="173" spans="1:5" ht="12.75">
      <c r="A173" s="16"/>
      <c r="B173" s="17" t="s">
        <v>316</v>
      </c>
      <c r="C173" s="18">
        <f>SUM(D173,E173)</f>
        <v>13619517</v>
      </c>
      <c r="D173" s="18">
        <v>13330874</v>
      </c>
      <c r="E173" s="18">
        <v>288643</v>
      </c>
    </row>
    <row r="174" spans="1:5" ht="12.75">
      <c r="A174" s="16"/>
      <c r="B174" s="17" t="s">
        <v>67</v>
      </c>
      <c r="C174" s="18"/>
      <c r="D174" s="18"/>
      <c r="E174" s="18"/>
    </row>
    <row r="175" spans="1:5" ht="12.75">
      <c r="A175" s="16"/>
      <c r="B175" s="17" t="s">
        <v>35</v>
      </c>
      <c r="C175" s="18">
        <f>SUM(D175,E175)</f>
        <v>11668062</v>
      </c>
      <c r="D175" s="18">
        <f>11414273+700</f>
        <v>11414973</v>
      </c>
      <c r="E175" s="18">
        <v>253089</v>
      </c>
    </row>
    <row r="176" spans="1:5" ht="12.75">
      <c r="A176" s="16"/>
      <c r="B176" s="17" t="s">
        <v>89</v>
      </c>
      <c r="C176" s="18">
        <f>SUM(D176,E176)</f>
        <v>357191</v>
      </c>
      <c r="D176" s="18">
        <v>357191</v>
      </c>
      <c r="E176" s="18">
        <v>0</v>
      </c>
    </row>
    <row r="177" spans="1:6" s="47" customFormat="1" ht="12.75">
      <c r="A177" s="61"/>
      <c r="B177" s="62" t="s">
        <v>116</v>
      </c>
      <c r="C177" s="48">
        <f>SUM(D177,E177)</f>
        <v>6974784</v>
      </c>
      <c r="D177" s="48">
        <v>6974784</v>
      </c>
      <c r="E177" s="48">
        <v>0</v>
      </c>
      <c r="F177" s="46"/>
    </row>
    <row r="178" spans="1:5" ht="12.75">
      <c r="A178" s="16" t="s">
        <v>117</v>
      </c>
      <c r="B178" s="17" t="s">
        <v>345</v>
      </c>
      <c r="C178" s="18">
        <f>SUM(D178,E178)</f>
        <v>1503474</v>
      </c>
      <c r="D178" s="18">
        <f>SUM(D179)</f>
        <v>0</v>
      </c>
      <c r="E178" s="18">
        <f>SUM(E179)</f>
        <v>1503474</v>
      </c>
    </row>
    <row r="179" spans="1:5" ht="12.75">
      <c r="A179" s="16"/>
      <c r="B179" s="17" t="s">
        <v>316</v>
      </c>
      <c r="C179" s="18">
        <f>SUM(D179,E179)</f>
        <v>1503474</v>
      </c>
      <c r="D179" s="18">
        <v>0</v>
      </c>
      <c r="E179" s="18">
        <v>1503474</v>
      </c>
    </row>
    <row r="180" spans="1:5" ht="12.75">
      <c r="A180" s="16"/>
      <c r="B180" s="17" t="s">
        <v>67</v>
      </c>
      <c r="C180" s="18"/>
      <c r="D180" s="18"/>
      <c r="E180" s="18"/>
    </row>
    <row r="181" spans="1:5" ht="12.75">
      <c r="A181" s="20"/>
      <c r="B181" s="21" t="s">
        <v>35</v>
      </c>
      <c r="C181" s="22">
        <f>SUM(D181,E181)</f>
        <v>1399903</v>
      </c>
      <c r="D181" s="22">
        <v>0</v>
      </c>
      <c r="E181" s="22">
        <v>1399903</v>
      </c>
    </row>
    <row r="182" spans="1:5" ht="12.75">
      <c r="A182" s="16" t="s">
        <v>118</v>
      </c>
      <c r="B182" s="17" t="s">
        <v>119</v>
      </c>
      <c r="C182" s="15">
        <f>SUM(D182,E182)</f>
        <v>4000</v>
      </c>
      <c r="D182" s="18">
        <f>SUM(D183)</f>
        <v>2000</v>
      </c>
      <c r="E182" s="18">
        <f>SUM(E183)</f>
        <v>2000</v>
      </c>
    </row>
    <row r="183" spans="1:5" ht="12.75">
      <c r="A183" s="20"/>
      <c r="B183" s="21" t="s">
        <v>316</v>
      </c>
      <c r="C183" s="22">
        <f>SUM(D183,E183)</f>
        <v>4000</v>
      </c>
      <c r="D183" s="22">
        <v>2000</v>
      </c>
      <c r="E183" s="22">
        <v>2000</v>
      </c>
    </row>
    <row r="184" spans="1:5" ht="12.75">
      <c r="A184" s="16" t="s">
        <v>120</v>
      </c>
      <c r="B184" s="17" t="s">
        <v>121</v>
      </c>
      <c r="C184" s="18">
        <f>SUM(D184,E184)</f>
        <v>15755513</v>
      </c>
      <c r="D184" s="18">
        <f>SUM(D185,D189)</f>
        <v>0</v>
      </c>
      <c r="E184" s="18">
        <f>SUM(E185,E189)</f>
        <v>15755513</v>
      </c>
    </row>
    <row r="185" spans="1:5" ht="12.75">
      <c r="A185" s="16"/>
      <c r="B185" s="17" t="s">
        <v>316</v>
      </c>
      <c r="C185" s="18">
        <f>SUM(D185,E185)</f>
        <v>13163133</v>
      </c>
      <c r="D185" s="18">
        <v>0</v>
      </c>
      <c r="E185" s="18">
        <v>13163133</v>
      </c>
    </row>
    <row r="186" spans="1:5" ht="12.75">
      <c r="A186" s="16"/>
      <c r="B186" s="17" t="s">
        <v>67</v>
      </c>
      <c r="C186" s="18"/>
      <c r="D186" s="18"/>
      <c r="E186" s="18"/>
    </row>
    <row r="187" spans="1:5" ht="12.75">
      <c r="A187" s="16"/>
      <c r="B187" s="17" t="s">
        <v>35</v>
      </c>
      <c r="C187" s="18">
        <f>SUM(D187,E187)</f>
        <v>10965219</v>
      </c>
      <c r="D187" s="18">
        <v>0</v>
      </c>
      <c r="E187" s="18">
        <v>10965219</v>
      </c>
    </row>
    <row r="188" spans="1:5" ht="12.75">
      <c r="A188" s="16"/>
      <c r="B188" s="17" t="s">
        <v>89</v>
      </c>
      <c r="C188" s="18">
        <f>SUM(D188,E188)</f>
        <v>695700</v>
      </c>
      <c r="D188" s="18">
        <v>0</v>
      </c>
      <c r="E188" s="18">
        <v>695700</v>
      </c>
    </row>
    <row r="189" spans="1:6" s="47" customFormat="1" ht="12.75">
      <c r="A189" s="61"/>
      <c r="B189" s="62" t="s">
        <v>26</v>
      </c>
      <c r="C189" s="48">
        <f>SUM(D189,E189)</f>
        <v>2592380</v>
      </c>
      <c r="D189" s="48">
        <v>0</v>
      </c>
      <c r="E189" s="48">
        <v>2592380</v>
      </c>
      <c r="F189" s="46"/>
    </row>
    <row r="190" spans="1:5" ht="12.75">
      <c r="A190" s="16" t="s">
        <v>122</v>
      </c>
      <c r="B190" s="17" t="s">
        <v>123</v>
      </c>
      <c r="C190" s="18">
        <f>SUM(D190,E190)</f>
        <v>1885975</v>
      </c>
      <c r="D190" s="18">
        <f>SUM(D191)</f>
        <v>0</v>
      </c>
      <c r="E190" s="18">
        <f>SUM(E191)</f>
        <v>1885975</v>
      </c>
    </row>
    <row r="191" spans="1:5" ht="12.75">
      <c r="A191" s="16"/>
      <c r="B191" s="17" t="s">
        <v>280</v>
      </c>
      <c r="C191" s="18">
        <f>SUM(D191,E191)</f>
        <v>1885975</v>
      </c>
      <c r="D191" s="18">
        <v>0</v>
      </c>
      <c r="E191" s="18">
        <v>1885975</v>
      </c>
    </row>
    <row r="192" spans="1:5" ht="12.75">
      <c r="A192" s="16"/>
      <c r="B192" s="17" t="s">
        <v>11</v>
      </c>
      <c r="C192" s="18"/>
      <c r="D192" s="18"/>
      <c r="E192" s="18"/>
    </row>
    <row r="193" spans="1:5" ht="12.75">
      <c r="A193" s="20"/>
      <c r="B193" s="21" t="s">
        <v>124</v>
      </c>
      <c r="C193" s="22">
        <f>SUM(D193,E193)</f>
        <v>1755899</v>
      </c>
      <c r="D193" s="22">
        <v>0</v>
      </c>
      <c r="E193" s="22">
        <v>1755899</v>
      </c>
    </row>
    <row r="194" spans="1:5" ht="12.75">
      <c r="A194" s="16" t="s">
        <v>125</v>
      </c>
      <c r="B194" s="17" t="s">
        <v>126</v>
      </c>
      <c r="C194" s="18">
        <f>SUM(D194,E194)</f>
        <v>20923861</v>
      </c>
      <c r="D194" s="18">
        <f>SUM(D195)</f>
        <v>0</v>
      </c>
      <c r="E194" s="18">
        <f>SUM(E195,E199)</f>
        <v>20923861</v>
      </c>
    </row>
    <row r="195" spans="1:5" ht="12.75">
      <c r="A195" s="16"/>
      <c r="B195" s="17" t="s">
        <v>278</v>
      </c>
      <c r="C195" s="18">
        <f>SUM(D195,E195)</f>
        <v>17295176</v>
      </c>
      <c r="D195" s="18">
        <v>0</v>
      </c>
      <c r="E195" s="18">
        <f>17045176+250000</f>
        <v>17295176</v>
      </c>
    </row>
    <row r="196" spans="1:5" ht="12.75">
      <c r="A196" s="16"/>
      <c r="B196" s="17" t="s">
        <v>67</v>
      </c>
      <c r="C196" s="18"/>
      <c r="D196" s="18"/>
      <c r="E196" s="18"/>
    </row>
    <row r="197" spans="1:5" ht="12.75">
      <c r="A197" s="16"/>
      <c r="B197" s="17" t="s">
        <v>35</v>
      </c>
      <c r="C197" s="18">
        <f>SUM(D197,E197)</f>
        <v>14015752</v>
      </c>
      <c r="D197" s="18">
        <v>0</v>
      </c>
      <c r="E197" s="18">
        <f>13747752+18000+250000</f>
        <v>14015752</v>
      </c>
    </row>
    <row r="198" spans="1:5" ht="12.75">
      <c r="A198" s="16"/>
      <c r="B198" s="17" t="s">
        <v>89</v>
      </c>
      <c r="C198" s="18">
        <f>SUM(D198,E198)</f>
        <v>840594</v>
      </c>
      <c r="D198" s="18">
        <v>0</v>
      </c>
      <c r="E198" s="18">
        <v>840594</v>
      </c>
    </row>
    <row r="199" spans="1:6" s="47" customFormat="1" ht="12.75">
      <c r="A199" s="61"/>
      <c r="B199" s="62" t="s">
        <v>26</v>
      </c>
      <c r="C199" s="48">
        <f>SUM(D199,E199)</f>
        <v>3628685</v>
      </c>
      <c r="D199" s="48">
        <v>0</v>
      </c>
      <c r="E199" s="48">
        <v>3628685</v>
      </c>
      <c r="F199" s="46"/>
    </row>
    <row r="200" spans="1:6" ht="12.75">
      <c r="A200" s="35" t="s">
        <v>127</v>
      </c>
      <c r="B200" s="19" t="s">
        <v>128</v>
      </c>
      <c r="C200" s="18">
        <f>SUM(D200,E200)</f>
        <v>2395808</v>
      </c>
      <c r="D200" s="18">
        <f>SUM(D201)</f>
        <v>0</v>
      </c>
      <c r="E200" s="45">
        <f>SUM(E201)</f>
        <v>2395808</v>
      </c>
      <c r="F200"/>
    </row>
    <row r="201" spans="1:6" ht="12.75">
      <c r="A201" s="35"/>
      <c r="B201" s="19" t="s">
        <v>280</v>
      </c>
      <c r="C201" s="18">
        <f>SUM(D201,E201)</f>
        <v>2395808</v>
      </c>
      <c r="D201" s="18">
        <v>0</v>
      </c>
      <c r="E201" s="45">
        <v>2395808</v>
      </c>
      <c r="F201"/>
    </row>
    <row r="202" spans="1:6" ht="12.75">
      <c r="A202" s="35"/>
      <c r="B202" s="19" t="s">
        <v>67</v>
      </c>
      <c r="C202" s="18"/>
      <c r="D202" s="18"/>
      <c r="E202" s="45"/>
      <c r="F202"/>
    </row>
    <row r="203" spans="1:6" ht="12.75">
      <c r="A203" s="36"/>
      <c r="B203" s="37" t="s">
        <v>35</v>
      </c>
      <c r="C203" s="22">
        <f>SUM(D203,E203)</f>
        <v>2131692</v>
      </c>
      <c r="D203" s="22">
        <v>0</v>
      </c>
      <c r="E203" s="48">
        <v>2131692</v>
      </c>
      <c r="F203"/>
    </row>
    <row r="204" spans="1:5" ht="12.75">
      <c r="A204" s="13" t="s">
        <v>129</v>
      </c>
      <c r="B204" s="14" t="s">
        <v>130</v>
      </c>
      <c r="C204" s="15">
        <f>SUM(D204,E204)</f>
        <v>1648892</v>
      </c>
      <c r="D204" s="15">
        <f>SUM(D205)</f>
        <v>0</v>
      </c>
      <c r="E204" s="15">
        <f>SUM(E205)</f>
        <v>1648892</v>
      </c>
    </row>
    <row r="205" spans="1:5" ht="12.75">
      <c r="A205" s="16"/>
      <c r="B205" s="17" t="s">
        <v>316</v>
      </c>
      <c r="C205" s="18">
        <f>SUM(D205,E205)</f>
        <v>1648892</v>
      </c>
      <c r="D205" s="18">
        <v>0</v>
      </c>
      <c r="E205" s="18">
        <v>1648892</v>
      </c>
    </row>
    <row r="206" spans="1:5" ht="12.75">
      <c r="A206" s="16"/>
      <c r="B206" s="17" t="s">
        <v>67</v>
      </c>
      <c r="C206" s="18"/>
      <c r="D206" s="18"/>
      <c r="E206" s="18"/>
    </row>
    <row r="207" spans="1:5" ht="12.75">
      <c r="A207" s="20"/>
      <c r="B207" s="21" t="s">
        <v>35</v>
      </c>
      <c r="C207" s="22">
        <f>SUM(D207,E207)</f>
        <v>1555785</v>
      </c>
      <c r="D207" s="22">
        <v>0</v>
      </c>
      <c r="E207" s="22">
        <v>1555785</v>
      </c>
    </row>
    <row r="208" spans="1:5" ht="24.75" customHeight="1">
      <c r="A208" s="16" t="s">
        <v>131</v>
      </c>
      <c r="B208" s="17" t="s">
        <v>132</v>
      </c>
      <c r="C208" s="38">
        <f>SUM(D208,E208)</f>
        <v>2094674</v>
      </c>
      <c r="D208" s="38">
        <f>SUM(D209)</f>
        <v>0</v>
      </c>
      <c r="E208" s="38">
        <f>SUM(E209)</f>
        <v>2094674</v>
      </c>
    </row>
    <row r="209" spans="1:5" ht="12.75">
      <c r="A209" s="16"/>
      <c r="B209" s="17" t="s">
        <v>316</v>
      </c>
      <c r="C209" s="18">
        <f>SUM(D209,E209)</f>
        <v>2094674</v>
      </c>
      <c r="D209" s="18">
        <v>0</v>
      </c>
      <c r="E209" s="18">
        <v>2094674</v>
      </c>
    </row>
    <row r="210" spans="1:5" ht="12.75">
      <c r="A210" s="16"/>
      <c r="B210" s="17" t="s">
        <v>67</v>
      </c>
      <c r="C210" s="18"/>
      <c r="D210" s="18"/>
      <c r="E210" s="18"/>
    </row>
    <row r="211" spans="1:5" ht="12.75">
      <c r="A211" s="20"/>
      <c r="B211" s="21" t="s">
        <v>35</v>
      </c>
      <c r="C211" s="22">
        <f>SUM(D211,E211)</f>
        <v>1595711</v>
      </c>
      <c r="D211" s="22">
        <v>0</v>
      </c>
      <c r="E211" s="22">
        <f>1585711+10000</f>
        <v>1595711</v>
      </c>
    </row>
    <row r="212" spans="1:5" ht="13.5" customHeight="1">
      <c r="A212" s="16" t="s">
        <v>133</v>
      </c>
      <c r="B212" s="17" t="s">
        <v>134</v>
      </c>
      <c r="C212" s="18">
        <f>SUM(D212,E212)</f>
        <v>621956</v>
      </c>
      <c r="D212" s="18">
        <f>SUM(D213)</f>
        <v>306739</v>
      </c>
      <c r="E212" s="18">
        <f>SUM(E213)</f>
        <v>315217</v>
      </c>
    </row>
    <row r="213" spans="1:5" ht="12.75">
      <c r="A213" s="16"/>
      <c r="B213" s="17" t="s">
        <v>316</v>
      </c>
      <c r="C213" s="18">
        <f>SUM(D213,E213)</f>
        <v>621956</v>
      </c>
      <c r="D213" s="18">
        <v>306739</v>
      </c>
      <c r="E213" s="18">
        <v>315217</v>
      </c>
    </row>
    <row r="214" spans="1:5" ht="12.75">
      <c r="A214" s="16"/>
      <c r="B214" s="17" t="s">
        <v>11</v>
      </c>
      <c r="C214" s="18"/>
      <c r="D214" s="18"/>
      <c r="E214" s="18"/>
    </row>
    <row r="215" spans="1:5" ht="12.75">
      <c r="A215" s="20"/>
      <c r="B215" s="21" t="s">
        <v>124</v>
      </c>
      <c r="C215" s="22">
        <f>SUM(D215,E215)</f>
        <v>125300</v>
      </c>
      <c r="D215" s="22">
        <v>61500</v>
      </c>
      <c r="E215" s="22">
        <v>63800</v>
      </c>
    </row>
    <row r="216" spans="1:5" ht="12.75">
      <c r="A216" s="16" t="s">
        <v>135</v>
      </c>
      <c r="B216" s="17" t="s">
        <v>14</v>
      </c>
      <c r="C216" s="18">
        <f>SUM(D216,E216)</f>
        <v>1294200</v>
      </c>
      <c r="D216" s="45">
        <f>SUM(D217,D220)</f>
        <v>1014800</v>
      </c>
      <c r="E216" s="45">
        <f>SUM(E217)</f>
        <v>279400</v>
      </c>
    </row>
    <row r="217" spans="1:5" ht="12.75">
      <c r="A217" s="16"/>
      <c r="B217" s="17" t="s">
        <v>316</v>
      </c>
      <c r="C217" s="18">
        <f>SUM(D217,E217)</f>
        <v>794200</v>
      </c>
      <c r="D217" s="45">
        <f>789800-275000</f>
        <v>514800</v>
      </c>
      <c r="E217" s="45">
        <f>529400-250000</f>
        <v>279400</v>
      </c>
    </row>
    <row r="218" spans="1:5" ht="12.75">
      <c r="A218" s="16"/>
      <c r="B218" s="17" t="s">
        <v>11</v>
      </c>
      <c r="C218" s="18"/>
      <c r="D218" s="45"/>
      <c r="E218" s="45"/>
    </row>
    <row r="219" spans="1:5" ht="12.75">
      <c r="A219" s="16"/>
      <c r="B219" s="17" t="s">
        <v>124</v>
      </c>
      <c r="C219" s="18">
        <f aca="true" t="shared" si="9" ref="C219:C225">SUM(D219,E219)</f>
        <v>10000</v>
      </c>
      <c r="D219" s="45">
        <v>10000</v>
      </c>
      <c r="E219" s="45">
        <f>250000-250000</f>
        <v>0</v>
      </c>
    </row>
    <row r="220" spans="1:6" s="47" customFormat="1" ht="12.75">
      <c r="A220" s="61"/>
      <c r="B220" s="62" t="s">
        <v>26</v>
      </c>
      <c r="C220" s="45">
        <f t="shared" si="9"/>
        <v>500000</v>
      </c>
      <c r="D220" s="48">
        <v>500000</v>
      </c>
      <c r="E220" s="48">
        <v>0</v>
      </c>
      <c r="F220" s="46"/>
    </row>
    <row r="221" spans="1:5" ht="12.75">
      <c r="A221" s="23" t="s">
        <v>136</v>
      </c>
      <c r="B221" s="24" t="s">
        <v>137</v>
      </c>
      <c r="C221" s="26">
        <f t="shared" si="9"/>
        <v>2617519</v>
      </c>
      <c r="D221" s="26">
        <f>SUM(D224,D228,D230,D234,D239,D243,D222)</f>
        <v>2617519</v>
      </c>
      <c r="E221" s="26">
        <f>SUM(E224,E228,E230,E234,E239,E243)</f>
        <v>0</v>
      </c>
    </row>
    <row r="222" spans="1:6" s="67" customFormat="1" ht="12.75">
      <c r="A222" s="44" t="s">
        <v>275</v>
      </c>
      <c r="B222" s="63" t="s">
        <v>276</v>
      </c>
      <c r="C222" s="45">
        <f t="shared" si="9"/>
        <v>400000</v>
      </c>
      <c r="D222" s="45">
        <f>SUM(D223)</f>
        <v>400000</v>
      </c>
      <c r="E222" s="45">
        <v>0</v>
      </c>
      <c r="F222" s="66"/>
    </row>
    <row r="223" spans="1:6" s="67" customFormat="1" ht="12.75">
      <c r="A223" s="61"/>
      <c r="B223" s="62" t="s">
        <v>26</v>
      </c>
      <c r="C223" s="48">
        <f t="shared" si="9"/>
        <v>400000</v>
      </c>
      <c r="D223" s="48">
        <v>400000</v>
      </c>
      <c r="E223" s="48">
        <v>0</v>
      </c>
      <c r="F223" s="66"/>
    </row>
    <row r="224" spans="1:5" ht="12.75">
      <c r="A224" s="13" t="s">
        <v>138</v>
      </c>
      <c r="B224" s="14" t="s">
        <v>139</v>
      </c>
      <c r="C224" s="15">
        <f t="shared" si="9"/>
        <v>268000</v>
      </c>
      <c r="D224" s="15">
        <f>SUM(D225)</f>
        <v>268000</v>
      </c>
      <c r="E224" s="15">
        <f>SUM(E225)</f>
        <v>0</v>
      </c>
    </row>
    <row r="225" spans="1:5" ht="13.5" customHeight="1">
      <c r="A225" s="16"/>
      <c r="B225" s="17" t="s">
        <v>281</v>
      </c>
      <c r="C225" s="18">
        <f t="shared" si="9"/>
        <v>268000</v>
      </c>
      <c r="D225" s="18">
        <f>228000+40000</f>
        <v>268000</v>
      </c>
      <c r="E225" s="18">
        <v>0</v>
      </c>
    </row>
    <row r="226" spans="1:5" ht="13.5" customHeight="1">
      <c r="A226" s="16"/>
      <c r="B226" s="17" t="s">
        <v>67</v>
      </c>
      <c r="C226" s="18"/>
      <c r="D226" s="18"/>
      <c r="E226" s="18"/>
    </row>
    <row r="227" spans="1:5" ht="13.5" customHeight="1">
      <c r="A227" s="20"/>
      <c r="B227" s="21" t="s">
        <v>35</v>
      </c>
      <c r="C227" s="22">
        <f>SUM(D227,E227)</f>
        <v>11000</v>
      </c>
      <c r="D227" s="22">
        <v>11000</v>
      </c>
      <c r="E227" s="22">
        <v>0</v>
      </c>
    </row>
    <row r="228" spans="1:5" ht="12.75">
      <c r="A228" s="16" t="s">
        <v>140</v>
      </c>
      <c r="B228" s="17" t="s">
        <v>141</v>
      </c>
      <c r="C228" s="18">
        <f>SUM(D228,E228)</f>
        <v>3100</v>
      </c>
      <c r="D228" s="18">
        <f>SUM(D229)</f>
        <v>3100</v>
      </c>
      <c r="E228" s="18">
        <f>SUM(E229)</f>
        <v>0</v>
      </c>
    </row>
    <row r="229" spans="1:5" ht="12.75" customHeight="1">
      <c r="A229" s="20"/>
      <c r="B229" s="21" t="s">
        <v>281</v>
      </c>
      <c r="C229" s="22">
        <f>SUM(D229,E229)</f>
        <v>3100</v>
      </c>
      <c r="D229" s="22">
        <v>3100</v>
      </c>
      <c r="E229" s="22">
        <v>0</v>
      </c>
    </row>
    <row r="230" spans="1:5" ht="12.75">
      <c r="A230" s="16" t="s">
        <v>142</v>
      </c>
      <c r="B230" s="17" t="s">
        <v>143</v>
      </c>
      <c r="C230" s="18">
        <f>SUM(D230,E230)</f>
        <v>9000</v>
      </c>
      <c r="D230" s="18">
        <f>SUM(D231)</f>
        <v>9000</v>
      </c>
      <c r="E230" s="18">
        <f>SUM(E231)</f>
        <v>0</v>
      </c>
    </row>
    <row r="231" spans="1:5" ht="12.75">
      <c r="A231" s="16"/>
      <c r="B231" s="17" t="s">
        <v>281</v>
      </c>
      <c r="C231" s="18">
        <f>SUM(D231,E231)</f>
        <v>9000</v>
      </c>
      <c r="D231" s="18">
        <v>9000</v>
      </c>
      <c r="E231" s="18">
        <v>0</v>
      </c>
    </row>
    <row r="232" spans="1:5" ht="12.75">
      <c r="A232" s="16"/>
      <c r="B232" s="17" t="s">
        <v>67</v>
      </c>
      <c r="C232" s="18"/>
      <c r="D232" s="18"/>
      <c r="E232" s="18"/>
    </row>
    <row r="233" spans="1:5" ht="12.75">
      <c r="A233" s="20"/>
      <c r="B233" s="21" t="s">
        <v>35</v>
      </c>
      <c r="C233" s="22">
        <f>SUM(D233,E233)</f>
        <v>6500</v>
      </c>
      <c r="D233" s="22">
        <v>6500</v>
      </c>
      <c r="E233" s="22">
        <v>0</v>
      </c>
    </row>
    <row r="234" spans="1:5" ht="12.75">
      <c r="A234" s="16" t="s">
        <v>144</v>
      </c>
      <c r="B234" s="17" t="s">
        <v>145</v>
      </c>
      <c r="C234" s="18">
        <f>SUM(D234,E234)</f>
        <v>1286919</v>
      </c>
      <c r="D234" s="18">
        <f>SUM(D235)</f>
        <v>1286919</v>
      </c>
      <c r="E234" s="18">
        <f>SUM(E235)</f>
        <v>0</v>
      </c>
    </row>
    <row r="235" spans="1:5" ht="12.75">
      <c r="A235" s="16"/>
      <c r="B235" s="17" t="s">
        <v>19</v>
      </c>
      <c r="C235" s="18">
        <f>SUM(D235,E235)</f>
        <v>1286919</v>
      </c>
      <c r="D235" s="18">
        <v>1286919</v>
      </c>
      <c r="E235" s="18">
        <v>0</v>
      </c>
    </row>
    <row r="236" spans="1:5" ht="12.75">
      <c r="A236" s="16"/>
      <c r="B236" s="17" t="s">
        <v>67</v>
      </c>
      <c r="C236" s="18"/>
      <c r="D236" s="18"/>
      <c r="E236" s="18"/>
    </row>
    <row r="237" spans="1:5" ht="12.75">
      <c r="A237" s="16"/>
      <c r="B237" s="17" t="s">
        <v>35</v>
      </c>
      <c r="C237" s="18">
        <f>SUM(D237,E237)</f>
        <v>373938</v>
      </c>
      <c r="D237" s="18">
        <f>299038+54900+20000</f>
        <v>373938</v>
      </c>
      <c r="E237" s="18">
        <v>0</v>
      </c>
    </row>
    <row r="238" spans="1:5" ht="12.75" customHeight="1">
      <c r="A238" s="16"/>
      <c r="B238" s="17" t="s">
        <v>324</v>
      </c>
      <c r="C238" s="18">
        <f>SUM(D238,E238)</f>
        <v>627775</v>
      </c>
      <c r="D238" s="18">
        <v>627775</v>
      </c>
      <c r="E238" s="18">
        <v>0</v>
      </c>
    </row>
    <row r="239" spans="1:6" ht="12.75">
      <c r="A239" s="13" t="s">
        <v>146</v>
      </c>
      <c r="B239" s="14" t="s">
        <v>147</v>
      </c>
      <c r="C239" s="15">
        <f>SUM(D239,E239)</f>
        <v>595000</v>
      </c>
      <c r="D239" s="15">
        <f>SUM(D240)</f>
        <v>595000</v>
      </c>
      <c r="E239" s="15">
        <f>SUM(E240)</f>
        <v>0</v>
      </c>
      <c r="F239" s="39"/>
    </row>
    <row r="240" spans="1:5" ht="12.75">
      <c r="A240" s="16"/>
      <c r="B240" s="17" t="s">
        <v>279</v>
      </c>
      <c r="C240" s="18">
        <f>SUM(D240,E240)</f>
        <v>595000</v>
      </c>
      <c r="D240" s="18">
        <v>595000</v>
      </c>
      <c r="E240" s="18">
        <v>0</v>
      </c>
    </row>
    <row r="241" spans="1:5" ht="12.75">
      <c r="A241" s="16"/>
      <c r="B241" s="17" t="s">
        <v>67</v>
      </c>
      <c r="C241" s="18"/>
      <c r="D241" s="18"/>
      <c r="E241" s="18"/>
    </row>
    <row r="242" spans="1:5" ht="12.75">
      <c r="A242" s="20"/>
      <c r="B242" s="21" t="s">
        <v>35</v>
      </c>
      <c r="C242" s="22">
        <f aca="true" t="shared" si="10" ref="C242:C247">SUM(D242,E242)</f>
        <v>508400</v>
      </c>
      <c r="D242" s="22">
        <v>508400</v>
      </c>
      <c r="E242" s="22">
        <v>0</v>
      </c>
    </row>
    <row r="243" spans="1:5" ht="12.75">
      <c r="A243" s="16" t="s">
        <v>148</v>
      </c>
      <c r="B243" s="17" t="s">
        <v>14</v>
      </c>
      <c r="C243" s="18">
        <f t="shared" si="10"/>
        <v>55500</v>
      </c>
      <c r="D243" s="18">
        <f>SUM(D244:D244)</f>
        <v>55500</v>
      </c>
      <c r="E243" s="18">
        <f>SUM(E244)</f>
        <v>0</v>
      </c>
    </row>
    <row r="244" spans="1:5" ht="12.75">
      <c r="A244" s="20"/>
      <c r="B244" s="21" t="s">
        <v>319</v>
      </c>
      <c r="C244" s="22">
        <f t="shared" si="10"/>
        <v>55500</v>
      </c>
      <c r="D244" s="22">
        <v>55500</v>
      </c>
      <c r="E244" s="22">
        <v>0</v>
      </c>
    </row>
    <row r="245" spans="1:5" ht="12.75">
      <c r="A245" s="23" t="s">
        <v>149</v>
      </c>
      <c r="B245" s="24" t="s">
        <v>150</v>
      </c>
      <c r="C245" s="26">
        <f t="shared" si="10"/>
        <v>29240145</v>
      </c>
      <c r="D245" s="26">
        <f>SUM(D246,D251,D256,D260,D265,D267,D269,D273,D277,D281,D285,D291,D289)</f>
        <v>20258756</v>
      </c>
      <c r="E245" s="26">
        <f>SUM(E246,E251,E256,E260,E265,E267,E269,E273,E277,E281,E285,E291,E289)</f>
        <v>8981389</v>
      </c>
    </row>
    <row r="246" spans="1:5" ht="13.5" customHeight="1">
      <c r="A246" s="16" t="s">
        <v>151</v>
      </c>
      <c r="B246" s="17" t="s">
        <v>152</v>
      </c>
      <c r="C246" s="15">
        <f t="shared" si="10"/>
        <v>2555600</v>
      </c>
      <c r="D246" s="18">
        <f>SUM(D247)</f>
        <v>0</v>
      </c>
      <c r="E246" s="18">
        <f>SUM(E247)</f>
        <v>2555600</v>
      </c>
    </row>
    <row r="247" spans="1:5" ht="12.75">
      <c r="A247" s="16"/>
      <c r="B247" s="17" t="s">
        <v>278</v>
      </c>
      <c r="C247" s="18">
        <f t="shared" si="10"/>
        <v>2555600</v>
      </c>
      <c r="D247" s="18">
        <v>0</v>
      </c>
      <c r="E247" s="18">
        <v>2555600</v>
      </c>
    </row>
    <row r="248" spans="1:5" ht="12.75">
      <c r="A248" s="16"/>
      <c r="B248" s="17" t="s">
        <v>67</v>
      </c>
      <c r="C248" s="18"/>
      <c r="D248" s="18"/>
      <c r="E248" s="18"/>
    </row>
    <row r="249" spans="1:5" ht="12.75">
      <c r="A249" s="16"/>
      <c r="B249" s="17" t="s">
        <v>325</v>
      </c>
      <c r="C249" s="18">
        <f>SUM(D249,E249)</f>
        <v>676090</v>
      </c>
      <c r="D249" s="18">
        <v>0</v>
      </c>
      <c r="E249" s="18">
        <v>676090</v>
      </c>
    </row>
    <row r="250" spans="1:5" ht="12.75">
      <c r="A250" s="20"/>
      <c r="B250" s="21" t="s">
        <v>326</v>
      </c>
      <c r="C250" s="22">
        <f>SUM(D250,E250)</f>
        <v>1403203</v>
      </c>
      <c r="D250" s="22">
        <v>0</v>
      </c>
      <c r="E250" s="22">
        <v>1403203</v>
      </c>
    </row>
    <row r="251" spans="1:5" ht="12.75">
      <c r="A251" s="16" t="s">
        <v>153</v>
      </c>
      <c r="B251" s="17" t="s">
        <v>154</v>
      </c>
      <c r="C251" s="18">
        <f>SUM(D251,E251)</f>
        <v>5711507</v>
      </c>
      <c r="D251" s="18">
        <f>SUM(D252)</f>
        <v>1535907</v>
      </c>
      <c r="E251" s="18">
        <f>SUM(E252,E255)</f>
        <v>4175600</v>
      </c>
    </row>
    <row r="252" spans="1:5" ht="12.75">
      <c r="A252" s="16"/>
      <c r="B252" s="17" t="s">
        <v>280</v>
      </c>
      <c r="C252" s="18">
        <f>SUM(D252,E252)</f>
        <v>5556507</v>
      </c>
      <c r="D252" s="18">
        <v>1535907</v>
      </c>
      <c r="E252" s="18">
        <v>4020600</v>
      </c>
    </row>
    <row r="253" spans="1:5" ht="12.75">
      <c r="A253" s="16"/>
      <c r="B253" s="17" t="s">
        <v>67</v>
      </c>
      <c r="C253" s="18"/>
      <c r="D253" s="18"/>
      <c r="E253" s="18"/>
    </row>
    <row r="254" spans="1:5" ht="12.75">
      <c r="A254" s="16"/>
      <c r="B254" s="17" t="s">
        <v>308</v>
      </c>
      <c r="C254" s="18">
        <f>SUM(D254,E254)</f>
        <v>3038700</v>
      </c>
      <c r="D254" s="18">
        <f>235180+19800+44650+6170+3000</f>
        <v>308800</v>
      </c>
      <c r="E254" s="18">
        <v>2729900</v>
      </c>
    </row>
    <row r="255" spans="1:6" s="47" customFormat="1" ht="12.75">
      <c r="A255" s="44"/>
      <c r="B255" s="63" t="s">
        <v>26</v>
      </c>
      <c r="C255" s="45">
        <f>SUM(D255,E255)</f>
        <v>155000</v>
      </c>
      <c r="D255" s="45">
        <v>0</v>
      </c>
      <c r="E255" s="45">
        <v>155000</v>
      </c>
      <c r="F255" s="46"/>
    </row>
    <row r="256" spans="1:5" ht="12.75">
      <c r="A256" s="13" t="s">
        <v>155</v>
      </c>
      <c r="B256" s="14" t="s">
        <v>156</v>
      </c>
      <c r="C256" s="15">
        <f>SUM(D256,E256)</f>
        <v>158800</v>
      </c>
      <c r="D256" s="15">
        <f>SUM(D257)</f>
        <v>158800</v>
      </c>
      <c r="E256" s="15">
        <f>SUM(E257)</f>
        <v>0</v>
      </c>
    </row>
    <row r="257" spans="1:5" ht="12.75">
      <c r="A257" s="16"/>
      <c r="B257" s="17" t="s">
        <v>316</v>
      </c>
      <c r="C257" s="18">
        <f>SUM(D257,E257)</f>
        <v>158800</v>
      </c>
      <c r="D257" s="18">
        <v>158800</v>
      </c>
      <c r="E257" s="18">
        <v>0</v>
      </c>
    </row>
    <row r="258" spans="1:5" ht="12.75">
      <c r="A258" s="16"/>
      <c r="B258" s="17" t="s">
        <v>67</v>
      </c>
      <c r="C258" s="18"/>
      <c r="D258" s="18"/>
      <c r="E258" s="18"/>
    </row>
    <row r="259" spans="1:5" ht="12.75">
      <c r="A259" s="20"/>
      <c r="B259" s="21" t="s">
        <v>35</v>
      </c>
      <c r="C259" s="22">
        <f>SUM(D259,E259)</f>
        <v>158800</v>
      </c>
      <c r="D259" s="22">
        <v>158800</v>
      </c>
      <c r="E259" s="22">
        <v>0</v>
      </c>
    </row>
    <row r="260" spans="1:5" ht="12.75">
      <c r="A260" s="16" t="s">
        <v>157</v>
      </c>
      <c r="B260" s="17" t="s">
        <v>158</v>
      </c>
      <c r="C260" s="18">
        <f>SUM(D260,E260)</f>
        <v>1744541</v>
      </c>
      <c r="D260" s="18">
        <f>SUM(D261)</f>
        <v>0</v>
      </c>
      <c r="E260" s="45">
        <f>SUM(E261)</f>
        <v>1744541</v>
      </c>
    </row>
    <row r="261" spans="1:5" ht="12.75">
      <c r="A261" s="16"/>
      <c r="B261" s="17" t="s">
        <v>281</v>
      </c>
      <c r="C261" s="18">
        <f>SUM(D261,E261)</f>
        <v>1744541</v>
      </c>
      <c r="D261" s="18">
        <v>0</v>
      </c>
      <c r="E261" s="45">
        <v>1744541</v>
      </c>
    </row>
    <row r="262" spans="1:5" ht="12.75">
      <c r="A262" s="16"/>
      <c r="B262" s="17" t="s">
        <v>67</v>
      </c>
      <c r="C262" s="18"/>
      <c r="D262" s="18"/>
      <c r="E262" s="45"/>
    </row>
    <row r="263" spans="1:5" ht="12.75">
      <c r="A263" s="16"/>
      <c r="B263" s="17" t="s">
        <v>35</v>
      </c>
      <c r="C263" s="18">
        <f aca="true" t="shared" si="11" ref="C263:C270">SUM(D263,E263)</f>
        <v>48434</v>
      </c>
      <c r="D263" s="18">
        <v>0</v>
      </c>
      <c r="E263" s="45">
        <f>6634+1000+40800</f>
        <v>48434</v>
      </c>
    </row>
    <row r="264" spans="1:5" ht="12.75">
      <c r="A264" s="20"/>
      <c r="B264" s="21" t="s">
        <v>326</v>
      </c>
      <c r="C264" s="22">
        <f t="shared" si="11"/>
        <v>69541</v>
      </c>
      <c r="D264" s="22">
        <v>0</v>
      </c>
      <c r="E264" s="48">
        <v>69541</v>
      </c>
    </row>
    <row r="265" spans="1:5" ht="25.5">
      <c r="A265" s="16" t="s">
        <v>159</v>
      </c>
      <c r="B265" s="17" t="s">
        <v>306</v>
      </c>
      <c r="C265" s="18">
        <f t="shared" si="11"/>
        <v>4241725</v>
      </c>
      <c r="D265" s="18">
        <f>SUM(D266)</f>
        <v>4241725</v>
      </c>
      <c r="E265" s="18">
        <f>SUM(E266)</f>
        <v>0</v>
      </c>
    </row>
    <row r="266" spans="1:5" ht="12.75">
      <c r="A266" s="16"/>
      <c r="B266" s="17" t="s">
        <v>281</v>
      </c>
      <c r="C266" s="18">
        <f t="shared" si="11"/>
        <v>4241725</v>
      </c>
      <c r="D266" s="18">
        <v>4241725</v>
      </c>
      <c r="E266" s="18">
        <v>0</v>
      </c>
    </row>
    <row r="267" spans="1:5" ht="12.75">
      <c r="A267" s="13" t="s">
        <v>160</v>
      </c>
      <c r="B267" s="14" t="s">
        <v>161</v>
      </c>
      <c r="C267" s="15">
        <f t="shared" si="11"/>
        <v>9500000</v>
      </c>
      <c r="D267" s="15">
        <f>SUM(D268)</f>
        <v>9500000</v>
      </c>
      <c r="E267" s="15">
        <f>SUM(E268)</f>
        <v>0</v>
      </c>
    </row>
    <row r="268" spans="1:5" ht="12.75">
      <c r="A268" s="20"/>
      <c r="B268" s="21" t="s">
        <v>280</v>
      </c>
      <c r="C268" s="22">
        <f t="shared" si="11"/>
        <v>9500000</v>
      </c>
      <c r="D268" s="48">
        <v>9500000</v>
      </c>
      <c r="E268" s="22">
        <v>0</v>
      </c>
    </row>
    <row r="269" spans="1:5" ht="12.75">
      <c r="A269" s="16" t="s">
        <v>162</v>
      </c>
      <c r="B269" s="17" t="s">
        <v>163</v>
      </c>
      <c r="C269" s="18">
        <f t="shared" si="11"/>
        <v>167312</v>
      </c>
      <c r="D269" s="18">
        <f>SUM(D270)</f>
        <v>0</v>
      </c>
      <c r="E269" s="40">
        <f>SUM(E270)</f>
        <v>167312</v>
      </c>
    </row>
    <row r="270" spans="1:5" ht="12.75">
      <c r="A270" s="16"/>
      <c r="B270" s="17" t="s">
        <v>281</v>
      </c>
      <c r="C270" s="18">
        <f t="shared" si="11"/>
        <v>167312</v>
      </c>
      <c r="D270" s="18">
        <v>0</v>
      </c>
      <c r="E270" s="45">
        <v>167312</v>
      </c>
    </row>
    <row r="271" spans="1:5" ht="12.75">
      <c r="A271" s="16"/>
      <c r="B271" s="17" t="s">
        <v>67</v>
      </c>
      <c r="C271" s="18"/>
      <c r="D271" s="18"/>
      <c r="E271" s="45"/>
    </row>
    <row r="272" spans="1:5" ht="12.75">
      <c r="A272" s="20"/>
      <c r="B272" s="21" t="s">
        <v>35</v>
      </c>
      <c r="C272" s="22">
        <f>SUM(D272,E272)</f>
        <v>134180</v>
      </c>
      <c r="D272" s="22">
        <v>0</v>
      </c>
      <c r="E272" s="48">
        <f>101348+11600+18632+2600</f>
        <v>134180</v>
      </c>
    </row>
    <row r="273" spans="1:5" ht="12.75">
      <c r="A273" s="16" t="s">
        <v>164</v>
      </c>
      <c r="B273" s="17" t="s">
        <v>165</v>
      </c>
      <c r="C273" s="18">
        <f>SUM(D273,E273)</f>
        <v>3091312</v>
      </c>
      <c r="D273" s="18">
        <f>SUM(D274)</f>
        <v>3091312</v>
      </c>
      <c r="E273" s="18">
        <f>SUM(E274)</f>
        <v>0</v>
      </c>
    </row>
    <row r="274" spans="1:5" ht="12.75">
      <c r="A274" s="16"/>
      <c r="B274" s="17" t="s">
        <v>279</v>
      </c>
      <c r="C274" s="18">
        <f>SUM(D274,E274)</f>
        <v>3091312</v>
      </c>
      <c r="D274" s="18">
        <v>3091312</v>
      </c>
      <c r="E274" s="18">
        <v>0</v>
      </c>
    </row>
    <row r="275" spans="1:5" ht="12.75">
      <c r="A275" s="16"/>
      <c r="B275" s="17" t="s">
        <v>67</v>
      </c>
      <c r="C275" s="18"/>
      <c r="D275" s="18"/>
      <c r="E275" s="18"/>
    </row>
    <row r="276" spans="1:6" ht="12.75">
      <c r="A276" s="16"/>
      <c r="B276" s="17" t="s">
        <v>35</v>
      </c>
      <c r="C276" s="18">
        <f>SUM(D276,E276)</f>
        <v>2812972</v>
      </c>
      <c r="D276" s="18">
        <f>2073507+114000+168607+381180+20212+52673+2793</f>
        <v>2812972</v>
      </c>
      <c r="E276" s="18">
        <v>0</v>
      </c>
      <c r="F276" s="80"/>
    </row>
    <row r="277" spans="1:5" ht="25.5">
      <c r="A277" s="13" t="s">
        <v>166</v>
      </c>
      <c r="B277" s="14" t="s">
        <v>167</v>
      </c>
      <c r="C277" s="41">
        <f>SUM(D277,E277)</f>
        <v>284614</v>
      </c>
      <c r="D277" s="41">
        <f>SUM(D278)</f>
        <v>0</v>
      </c>
      <c r="E277" s="41">
        <f>SUM(E278)</f>
        <v>284614</v>
      </c>
    </row>
    <row r="278" spans="1:5" ht="12.75">
      <c r="A278" s="16"/>
      <c r="B278" s="17" t="s">
        <v>280</v>
      </c>
      <c r="C278" s="18">
        <f>SUM(D278,E278)</f>
        <v>284614</v>
      </c>
      <c r="D278" s="18">
        <v>0</v>
      </c>
      <c r="E278" s="18">
        <v>284614</v>
      </c>
    </row>
    <row r="279" spans="1:5" ht="12.75">
      <c r="A279" s="16"/>
      <c r="B279" s="17" t="s">
        <v>67</v>
      </c>
      <c r="C279" s="18"/>
      <c r="D279" s="18"/>
      <c r="E279" s="18"/>
    </row>
    <row r="280" spans="1:5" ht="12.75">
      <c r="A280" s="20"/>
      <c r="B280" s="21" t="s">
        <v>35</v>
      </c>
      <c r="C280" s="22">
        <f>SUM(D280,E280)</f>
        <v>209269</v>
      </c>
      <c r="D280" s="22">
        <v>0</v>
      </c>
      <c r="E280" s="22">
        <f>160721+14136+30128+4284</f>
        <v>209269</v>
      </c>
    </row>
    <row r="281" spans="1:5" ht="12.75">
      <c r="A281" s="16" t="s">
        <v>168</v>
      </c>
      <c r="B281" s="17" t="s">
        <v>169</v>
      </c>
      <c r="C281" s="18">
        <f>SUM(D281,E281)</f>
        <v>48322</v>
      </c>
      <c r="D281" s="18">
        <f>SUM(D282)</f>
        <v>0</v>
      </c>
      <c r="E281" s="45">
        <f>SUM(E282)</f>
        <v>48322</v>
      </c>
    </row>
    <row r="282" spans="1:5" ht="12.75">
      <c r="A282" s="16"/>
      <c r="B282" s="17" t="s">
        <v>281</v>
      </c>
      <c r="C282" s="18">
        <f>SUM(D282,E282)</f>
        <v>48322</v>
      </c>
      <c r="D282" s="18">
        <v>0</v>
      </c>
      <c r="E282" s="45">
        <v>48322</v>
      </c>
    </row>
    <row r="283" spans="1:5" ht="12.75">
      <c r="A283" s="16"/>
      <c r="B283" s="17" t="s">
        <v>67</v>
      </c>
      <c r="C283" s="18"/>
      <c r="D283" s="18"/>
      <c r="E283" s="45"/>
    </row>
    <row r="284" spans="1:5" ht="12.75">
      <c r="A284" s="20"/>
      <c r="B284" s="21" t="s">
        <v>89</v>
      </c>
      <c r="C284" s="22">
        <f>SUM(D284,E284)</f>
        <v>48322</v>
      </c>
      <c r="D284" s="22">
        <v>0</v>
      </c>
      <c r="E284" s="48">
        <v>48322</v>
      </c>
    </row>
    <row r="285" spans="1:5" ht="25.5">
      <c r="A285" s="16" t="s">
        <v>170</v>
      </c>
      <c r="B285" s="17" t="s">
        <v>171</v>
      </c>
      <c r="C285" s="38">
        <f>SUM(D285,E285)</f>
        <v>1500000</v>
      </c>
      <c r="D285" s="38">
        <f>SUM(D286)</f>
        <v>1500000</v>
      </c>
      <c r="E285" s="38">
        <f>SUM(E286)</f>
        <v>0</v>
      </c>
    </row>
    <row r="286" spans="1:5" ht="12.75">
      <c r="A286" s="16"/>
      <c r="B286" s="17" t="s">
        <v>319</v>
      </c>
      <c r="C286" s="18">
        <f>SUM(D286,E286)</f>
        <v>1500000</v>
      </c>
      <c r="D286" s="18">
        <f>1119400+380600</f>
        <v>1500000</v>
      </c>
      <c r="E286" s="18">
        <v>0</v>
      </c>
    </row>
    <row r="287" spans="1:5" ht="12.75">
      <c r="A287" s="16"/>
      <c r="B287" s="17" t="s">
        <v>11</v>
      </c>
      <c r="C287" s="18"/>
      <c r="D287" s="18"/>
      <c r="E287" s="18"/>
    </row>
    <row r="288" spans="1:5" ht="12.75">
      <c r="A288" s="20"/>
      <c r="B288" s="21" t="s">
        <v>12</v>
      </c>
      <c r="C288" s="22">
        <f aca="true" t="shared" si="12" ref="C288:C295">SUM(D288,E288)</f>
        <v>1500000</v>
      </c>
      <c r="D288" s="22">
        <v>1500000</v>
      </c>
      <c r="E288" s="22">
        <v>0</v>
      </c>
    </row>
    <row r="289" spans="1:5" ht="12.75">
      <c r="A289" s="16" t="s">
        <v>282</v>
      </c>
      <c r="B289" s="17" t="s">
        <v>134</v>
      </c>
      <c r="C289" s="18">
        <f t="shared" si="12"/>
        <v>2800</v>
      </c>
      <c r="D289" s="18">
        <v>0</v>
      </c>
      <c r="E289" s="18">
        <f>SUM(E290)</f>
        <v>2800</v>
      </c>
    </row>
    <row r="290" spans="1:5" ht="12.75" customHeight="1">
      <c r="A290" s="16"/>
      <c r="B290" s="17" t="s">
        <v>327</v>
      </c>
      <c r="C290" s="18">
        <f t="shared" si="12"/>
        <v>2800</v>
      </c>
      <c r="D290" s="18">
        <v>0</v>
      </c>
      <c r="E290" s="18">
        <v>2800</v>
      </c>
    </row>
    <row r="291" spans="1:5" ht="12.75">
      <c r="A291" s="13" t="s">
        <v>172</v>
      </c>
      <c r="B291" s="14" t="s">
        <v>14</v>
      </c>
      <c r="C291" s="15">
        <f t="shared" si="12"/>
        <v>233612</v>
      </c>
      <c r="D291" s="15">
        <f>SUM(D292)</f>
        <v>231012</v>
      </c>
      <c r="E291" s="40">
        <f>SUM(E292)</f>
        <v>2600</v>
      </c>
    </row>
    <row r="292" spans="1:5" ht="12.75">
      <c r="A292" s="20"/>
      <c r="B292" s="21" t="s">
        <v>19</v>
      </c>
      <c r="C292" s="22">
        <f t="shared" si="12"/>
        <v>233612</v>
      </c>
      <c r="D292" s="22">
        <v>231012</v>
      </c>
      <c r="E292" s="48">
        <v>2600</v>
      </c>
    </row>
    <row r="293" spans="1:6" s="43" customFormat="1" ht="26.25" customHeight="1">
      <c r="A293" s="23" t="s">
        <v>173</v>
      </c>
      <c r="B293" s="24" t="s">
        <v>174</v>
      </c>
      <c r="C293" s="29">
        <f t="shared" si="12"/>
        <v>3309574</v>
      </c>
      <c r="D293" s="29">
        <f>SUM(D294,D302,D306,D311,D298)</f>
        <v>1731774</v>
      </c>
      <c r="E293" s="29">
        <f>SUM(E294,E302,E306,E311,E298)</f>
        <v>1577800</v>
      </c>
      <c r="F293" s="42"/>
    </row>
    <row r="294" spans="1:5" ht="12.75">
      <c r="A294" s="16" t="s">
        <v>175</v>
      </c>
      <c r="B294" s="17" t="s">
        <v>176</v>
      </c>
      <c r="C294" s="18">
        <f t="shared" si="12"/>
        <v>1372974</v>
      </c>
      <c r="D294" s="18">
        <f>SUM(D295)</f>
        <v>1372974</v>
      </c>
      <c r="E294" s="18">
        <f>SUM(E295)</f>
        <v>0</v>
      </c>
    </row>
    <row r="295" spans="1:5" ht="12.75">
      <c r="A295" s="16"/>
      <c r="B295" s="17" t="s">
        <v>328</v>
      </c>
      <c r="C295" s="18">
        <f t="shared" si="12"/>
        <v>1372974</v>
      </c>
      <c r="D295" s="18">
        <v>1372974</v>
      </c>
      <c r="E295" s="18">
        <v>0</v>
      </c>
    </row>
    <row r="296" spans="1:5" ht="12.75">
      <c r="A296" s="16"/>
      <c r="B296" s="17" t="s">
        <v>67</v>
      </c>
      <c r="C296" s="18"/>
      <c r="D296" s="18"/>
      <c r="E296" s="18"/>
    </row>
    <row r="297" spans="1:5" ht="12.75">
      <c r="A297" s="20"/>
      <c r="B297" s="21" t="s">
        <v>35</v>
      </c>
      <c r="C297" s="22">
        <f>SUM(D297,E297)</f>
        <v>1115348</v>
      </c>
      <c r="D297" s="22">
        <f>1113603+1745</f>
        <v>1115348</v>
      </c>
      <c r="E297" s="22">
        <v>0</v>
      </c>
    </row>
    <row r="298" spans="1:5" ht="25.5">
      <c r="A298" s="16" t="s">
        <v>297</v>
      </c>
      <c r="B298" s="17" t="s">
        <v>298</v>
      </c>
      <c r="C298" s="18">
        <f>SUM(D298,E298)</f>
        <v>32500</v>
      </c>
      <c r="D298" s="18">
        <v>0</v>
      </c>
      <c r="E298" s="18">
        <f>SUM(E299)</f>
        <v>32500</v>
      </c>
    </row>
    <row r="299" spans="1:5" ht="12.75" customHeight="1">
      <c r="A299" s="16"/>
      <c r="B299" s="17" t="s">
        <v>280</v>
      </c>
      <c r="C299" s="18">
        <f>SUM(D299,E299)</f>
        <v>32500</v>
      </c>
      <c r="D299" s="18">
        <v>0</v>
      </c>
      <c r="E299" s="18">
        <v>32500</v>
      </c>
    </row>
    <row r="300" spans="1:5" ht="12.75">
      <c r="A300" s="16"/>
      <c r="B300" s="17" t="s">
        <v>11</v>
      </c>
      <c r="C300" s="18"/>
      <c r="D300" s="18"/>
      <c r="E300" s="18"/>
    </row>
    <row r="301" spans="1:5" ht="12.75">
      <c r="A301" s="20"/>
      <c r="B301" s="21" t="s">
        <v>12</v>
      </c>
      <c r="C301" s="22">
        <f>SUM(D301,E301)</f>
        <v>32500</v>
      </c>
      <c r="D301" s="22">
        <v>0</v>
      </c>
      <c r="E301" s="22">
        <v>32500</v>
      </c>
    </row>
    <row r="302" spans="1:5" ht="14.25" customHeight="1">
      <c r="A302" s="13" t="s">
        <v>177</v>
      </c>
      <c r="B302" s="14" t="s">
        <v>178</v>
      </c>
      <c r="C302" s="15">
        <f>SUM(D302,E302)</f>
        <v>48100</v>
      </c>
      <c r="D302" s="15">
        <f>SUM(D303)</f>
        <v>0</v>
      </c>
      <c r="E302" s="15">
        <f>SUM(E303)</f>
        <v>48100</v>
      </c>
    </row>
    <row r="303" spans="1:5" ht="12.75">
      <c r="A303" s="16"/>
      <c r="B303" s="17" t="s">
        <v>19</v>
      </c>
      <c r="C303" s="18">
        <f>SUM(D303,E303)</f>
        <v>48100</v>
      </c>
      <c r="D303" s="18">
        <v>0</v>
      </c>
      <c r="E303" s="45">
        <v>48100</v>
      </c>
    </row>
    <row r="304" spans="1:5" ht="12.75">
      <c r="A304" s="16"/>
      <c r="B304" s="17" t="s">
        <v>11</v>
      </c>
      <c r="C304" s="18"/>
      <c r="D304" s="18"/>
      <c r="E304" s="45"/>
    </row>
    <row r="305" spans="1:5" ht="12.75">
      <c r="A305" s="20"/>
      <c r="B305" s="21" t="s">
        <v>35</v>
      </c>
      <c r="C305" s="22">
        <f>SUM(D305,E305)</f>
        <v>31900</v>
      </c>
      <c r="D305" s="22">
        <v>0</v>
      </c>
      <c r="E305" s="48">
        <f>20900+11000</f>
        <v>31900</v>
      </c>
    </row>
    <row r="306" spans="1:5" ht="12.75">
      <c r="A306" s="16" t="s">
        <v>179</v>
      </c>
      <c r="B306" s="17" t="s">
        <v>180</v>
      </c>
      <c r="C306" s="18">
        <f>SUM(D306,E306)</f>
        <v>1496200</v>
      </c>
      <c r="D306" s="18">
        <f>SUM(D307)</f>
        <v>0</v>
      </c>
      <c r="E306" s="45">
        <f>SUM(E307,E310)</f>
        <v>1496200</v>
      </c>
    </row>
    <row r="307" spans="1:5" ht="12.75">
      <c r="A307" s="16"/>
      <c r="B307" s="17" t="s">
        <v>19</v>
      </c>
      <c r="C307" s="18">
        <f>SUM(D307,E307)</f>
        <v>1416200</v>
      </c>
      <c r="D307" s="18">
        <v>0</v>
      </c>
      <c r="E307" s="45">
        <f>2153800-320531+41000+320531-778600</f>
        <v>1416200</v>
      </c>
    </row>
    <row r="308" spans="1:5" ht="12.75">
      <c r="A308" s="16"/>
      <c r="B308" s="17" t="s">
        <v>67</v>
      </c>
      <c r="C308" s="18"/>
      <c r="D308" s="18"/>
      <c r="E308" s="45"/>
    </row>
    <row r="309" spans="1:6" ht="12.75">
      <c r="A309" s="16"/>
      <c r="B309" s="17" t="s">
        <v>35</v>
      </c>
      <c r="C309" s="18">
        <f>SUM(D309,E309)</f>
        <v>1208633</v>
      </c>
      <c r="D309" s="18">
        <v>0</v>
      </c>
      <c r="E309" s="45">
        <f>1794200-320531+40300+320531-625867</f>
        <v>1208633</v>
      </c>
      <c r="F309" s="89"/>
    </row>
    <row r="310" spans="1:6" s="47" customFormat="1" ht="12.75">
      <c r="A310" s="61"/>
      <c r="B310" s="62" t="s">
        <v>26</v>
      </c>
      <c r="C310" s="45">
        <f>SUM(D310,E310)</f>
        <v>80000</v>
      </c>
      <c r="D310" s="48">
        <v>0</v>
      </c>
      <c r="E310" s="48">
        <v>80000</v>
      </c>
      <c r="F310" s="99"/>
    </row>
    <row r="311" spans="1:5" ht="12.75">
      <c r="A311" s="13" t="s">
        <v>182</v>
      </c>
      <c r="B311" s="14" t="s">
        <v>14</v>
      </c>
      <c r="C311" s="15">
        <f>SUM(D311,E311)</f>
        <v>359800</v>
      </c>
      <c r="D311" s="15">
        <f>SUM(D312)</f>
        <v>358800</v>
      </c>
      <c r="E311" s="15">
        <f>SUM(E312)</f>
        <v>1000</v>
      </c>
    </row>
    <row r="312" spans="1:5" ht="12.75">
      <c r="A312" s="16"/>
      <c r="B312" s="17" t="s">
        <v>19</v>
      </c>
      <c r="C312" s="18">
        <f>SUM(D312,E312)</f>
        <v>359800</v>
      </c>
      <c r="D312" s="18">
        <v>358800</v>
      </c>
      <c r="E312" s="18">
        <v>1000</v>
      </c>
    </row>
    <row r="313" spans="1:5" ht="12.75">
      <c r="A313" s="16"/>
      <c r="B313" s="17" t="s">
        <v>67</v>
      </c>
      <c r="C313" s="18"/>
      <c r="D313" s="18"/>
      <c r="E313" s="18"/>
    </row>
    <row r="314" spans="1:5" ht="12.75">
      <c r="A314" s="20"/>
      <c r="B314" s="21" t="s">
        <v>329</v>
      </c>
      <c r="C314" s="22">
        <f>SUM(D314,E314)</f>
        <v>345130</v>
      </c>
      <c r="D314" s="22">
        <v>345130</v>
      </c>
      <c r="E314" s="22">
        <v>0</v>
      </c>
    </row>
    <row r="315" spans="1:5" ht="14.25" customHeight="1">
      <c r="A315" s="23" t="s">
        <v>183</v>
      </c>
      <c r="B315" s="24" t="s">
        <v>184</v>
      </c>
      <c r="C315" s="26">
        <f>SUM(D315,E315)</f>
        <v>8914310</v>
      </c>
      <c r="D315" s="26">
        <f>SUM(D316,D320,D325,D330,D334,D339,D341,D343,D349)</f>
        <v>2854546</v>
      </c>
      <c r="E315" s="26">
        <f>SUM(E316,E320,E325,E330,E334,E339,E341,E343,E349,E347)</f>
        <v>6059764</v>
      </c>
    </row>
    <row r="316" spans="1:5" ht="12.75">
      <c r="A316" s="16" t="s">
        <v>185</v>
      </c>
      <c r="B316" s="17" t="s">
        <v>186</v>
      </c>
      <c r="C316" s="18">
        <f>SUM(D316,E316)</f>
        <v>1536196</v>
      </c>
      <c r="D316" s="18">
        <f>SUM(D317)</f>
        <v>1494746</v>
      </c>
      <c r="E316" s="18">
        <f>SUM(E317)</f>
        <v>41450</v>
      </c>
    </row>
    <row r="317" spans="1:5" ht="12.75">
      <c r="A317" s="16"/>
      <c r="B317" s="17" t="s">
        <v>280</v>
      </c>
      <c r="C317" s="18">
        <f>SUM(D317,E317)</f>
        <v>1536196</v>
      </c>
      <c r="D317" s="18">
        <v>1494746</v>
      </c>
      <c r="E317" s="18">
        <v>41450</v>
      </c>
    </row>
    <row r="318" spans="1:5" ht="12.75">
      <c r="A318" s="16"/>
      <c r="B318" s="17" t="s">
        <v>67</v>
      </c>
      <c r="C318" s="18"/>
      <c r="D318" s="18"/>
      <c r="E318" s="18"/>
    </row>
    <row r="319" spans="1:5" ht="12.75">
      <c r="A319" s="20"/>
      <c r="B319" s="21" t="s">
        <v>35</v>
      </c>
      <c r="C319" s="22">
        <f>SUM(D319,E319)</f>
        <v>1448940</v>
      </c>
      <c r="D319" s="22">
        <v>1409171</v>
      </c>
      <c r="E319" s="22">
        <v>39769</v>
      </c>
    </row>
    <row r="320" spans="1:5" ht="13.5" customHeight="1">
      <c r="A320" s="16" t="s">
        <v>187</v>
      </c>
      <c r="B320" s="17" t="s">
        <v>188</v>
      </c>
      <c r="C320" s="18">
        <f>SUM(D320,E320)</f>
        <v>3534244</v>
      </c>
      <c r="D320" s="18">
        <f>SUM(D321)</f>
        <v>0</v>
      </c>
      <c r="E320" s="18">
        <f>SUM(E321)</f>
        <v>3534244</v>
      </c>
    </row>
    <row r="321" spans="1:5" ht="12.75">
      <c r="A321" s="16"/>
      <c r="B321" s="17" t="s">
        <v>281</v>
      </c>
      <c r="C321" s="18">
        <f>SUM(D321,E321)</f>
        <v>3534244</v>
      </c>
      <c r="D321" s="18">
        <v>0</v>
      </c>
      <c r="E321" s="18">
        <v>3534244</v>
      </c>
    </row>
    <row r="322" spans="1:5" ht="12.75">
      <c r="A322" s="16"/>
      <c r="B322" s="17" t="s">
        <v>67</v>
      </c>
      <c r="C322" s="18"/>
      <c r="D322" s="18"/>
      <c r="E322" s="18"/>
    </row>
    <row r="323" spans="1:5" ht="12.75">
      <c r="A323" s="16"/>
      <c r="B323" s="17" t="s">
        <v>35</v>
      </c>
      <c r="C323" s="18">
        <f>SUM(D323,E323)</f>
        <v>1564293</v>
      </c>
      <c r="D323" s="18">
        <v>0</v>
      </c>
      <c r="E323" s="18">
        <f>1562293+2000</f>
        <v>1564293</v>
      </c>
    </row>
    <row r="324" spans="1:5" ht="12.75">
      <c r="A324" s="20"/>
      <c r="B324" s="21" t="s">
        <v>89</v>
      </c>
      <c r="C324" s="22">
        <f>SUM(D324,E324)</f>
        <v>1653057</v>
      </c>
      <c r="D324" s="22">
        <v>0</v>
      </c>
      <c r="E324" s="22">
        <v>1653057</v>
      </c>
    </row>
    <row r="325" spans="1:5" ht="13.5" customHeight="1">
      <c r="A325" s="13" t="s">
        <v>189</v>
      </c>
      <c r="B325" s="14" t="s">
        <v>190</v>
      </c>
      <c r="C325" s="15">
        <f>SUM(D325,E325)</f>
        <v>1283201</v>
      </c>
      <c r="D325" s="15">
        <f>SUM(D327)</f>
        <v>0</v>
      </c>
      <c r="E325" s="40">
        <f>SUM(E327)</f>
        <v>1283201</v>
      </c>
    </row>
    <row r="326" spans="1:5" ht="12.75">
      <c r="A326" s="16"/>
      <c r="B326" s="17" t="s">
        <v>191</v>
      </c>
      <c r="C326" s="18"/>
      <c r="D326" s="18"/>
      <c r="E326" s="45"/>
    </row>
    <row r="327" spans="1:5" ht="12.75">
      <c r="A327" s="16"/>
      <c r="B327" s="17" t="s">
        <v>280</v>
      </c>
      <c r="C327" s="18">
        <f>SUM(D327,E327)</f>
        <v>1283201</v>
      </c>
      <c r="D327" s="18">
        <v>0</v>
      </c>
      <c r="E327" s="45">
        <v>1283201</v>
      </c>
    </row>
    <row r="328" spans="1:5" ht="12.75">
      <c r="A328" s="16"/>
      <c r="B328" s="17" t="s">
        <v>67</v>
      </c>
      <c r="C328" s="18"/>
      <c r="D328" s="18"/>
      <c r="E328" s="45"/>
    </row>
    <row r="329" spans="1:5" ht="12.75">
      <c r="A329" s="20"/>
      <c r="B329" s="21" t="s">
        <v>35</v>
      </c>
      <c r="C329" s="22">
        <f>SUM(D329,E329)</f>
        <v>1144923</v>
      </c>
      <c r="D329" s="22">
        <v>0</v>
      </c>
      <c r="E329" s="48">
        <v>1144923</v>
      </c>
    </row>
    <row r="330" spans="1:5" ht="13.5" customHeight="1">
      <c r="A330" s="16" t="s">
        <v>192</v>
      </c>
      <c r="B330" s="17" t="s">
        <v>346</v>
      </c>
      <c r="C330" s="18">
        <f>SUM(D330,E330)</f>
        <v>645566</v>
      </c>
      <c r="D330" s="18">
        <f>SUM(D331)</f>
        <v>0</v>
      </c>
      <c r="E330" s="18">
        <f>SUM(E331)</f>
        <v>645566</v>
      </c>
    </row>
    <row r="331" spans="1:5" ht="12.75">
      <c r="A331" s="16"/>
      <c r="B331" s="17" t="s">
        <v>280</v>
      </c>
      <c r="C331" s="18">
        <f>SUM(D331,E331)</f>
        <v>645566</v>
      </c>
      <c r="D331" s="18">
        <v>0</v>
      </c>
      <c r="E331" s="18">
        <v>645566</v>
      </c>
    </row>
    <row r="332" spans="1:5" ht="12.75">
      <c r="A332" s="16"/>
      <c r="B332" s="17" t="s">
        <v>67</v>
      </c>
      <c r="C332" s="18"/>
      <c r="D332" s="18"/>
      <c r="E332" s="18"/>
    </row>
    <row r="333" spans="1:5" ht="12.75">
      <c r="A333" s="20"/>
      <c r="B333" s="21" t="s">
        <v>35</v>
      </c>
      <c r="C333" s="22">
        <f>SUM(D333,E333)</f>
        <v>561892</v>
      </c>
      <c r="D333" s="22">
        <v>0</v>
      </c>
      <c r="E333" s="22">
        <v>561892</v>
      </c>
    </row>
    <row r="334" spans="1:5" ht="12.75">
      <c r="A334" s="16" t="s">
        <v>193</v>
      </c>
      <c r="B334" s="17" t="s">
        <v>194</v>
      </c>
      <c r="C334" s="18">
        <f>SUM(D334,E334)</f>
        <v>494377</v>
      </c>
      <c r="D334" s="18">
        <f>SUM(D335)</f>
        <v>0</v>
      </c>
      <c r="E334" s="18">
        <f>SUM(E335)</f>
        <v>494377</v>
      </c>
    </row>
    <row r="335" spans="1:5" ht="12.75">
      <c r="A335" s="16"/>
      <c r="B335" s="17" t="s">
        <v>280</v>
      </c>
      <c r="C335" s="18">
        <f>SUM(D335,E335)</f>
        <v>494377</v>
      </c>
      <c r="D335" s="18">
        <v>0</v>
      </c>
      <c r="E335" s="18">
        <v>494377</v>
      </c>
    </row>
    <row r="336" spans="1:5" ht="12.75">
      <c r="A336" s="16"/>
      <c r="B336" s="17" t="s">
        <v>67</v>
      </c>
      <c r="C336" s="18"/>
      <c r="D336" s="18"/>
      <c r="E336" s="18"/>
    </row>
    <row r="337" spans="1:5" ht="12.75">
      <c r="A337" s="16"/>
      <c r="B337" s="17" t="s">
        <v>35</v>
      </c>
      <c r="C337" s="18">
        <f aca="true" t="shared" si="13" ref="C337:C344">SUM(D337,E337)</f>
        <v>294342</v>
      </c>
      <c r="D337" s="18">
        <v>0</v>
      </c>
      <c r="E337" s="18">
        <v>294342</v>
      </c>
    </row>
    <row r="338" spans="1:5" ht="12.75">
      <c r="A338" s="20"/>
      <c r="B338" s="21" t="s">
        <v>89</v>
      </c>
      <c r="C338" s="22">
        <f t="shared" si="13"/>
        <v>136704</v>
      </c>
      <c r="D338" s="22">
        <v>0</v>
      </c>
      <c r="E338" s="22">
        <v>136704</v>
      </c>
    </row>
    <row r="339" spans="1:5" ht="38.25">
      <c r="A339" s="16" t="s">
        <v>195</v>
      </c>
      <c r="B339" s="17" t="s">
        <v>196</v>
      </c>
      <c r="C339" s="38">
        <f t="shared" si="13"/>
        <v>165000</v>
      </c>
      <c r="D339" s="38">
        <f>SUM(D340)</f>
        <v>165000</v>
      </c>
      <c r="E339" s="69">
        <f>SUM(E340)</f>
        <v>0</v>
      </c>
    </row>
    <row r="340" spans="1:5" ht="12.75">
      <c r="A340" s="16"/>
      <c r="B340" s="17" t="s">
        <v>281</v>
      </c>
      <c r="C340" s="18">
        <f t="shared" si="13"/>
        <v>165000</v>
      </c>
      <c r="D340" s="18">
        <v>165000</v>
      </c>
      <c r="E340" s="45">
        <v>0</v>
      </c>
    </row>
    <row r="341" spans="1:5" ht="12.75">
      <c r="A341" s="13" t="s">
        <v>197</v>
      </c>
      <c r="B341" s="14" t="s">
        <v>198</v>
      </c>
      <c r="C341" s="15">
        <f t="shared" si="13"/>
        <v>983000</v>
      </c>
      <c r="D341" s="15">
        <f>SUM(D342)</f>
        <v>983000</v>
      </c>
      <c r="E341" s="40">
        <f>SUM(E342)</f>
        <v>0</v>
      </c>
    </row>
    <row r="342" spans="1:5" ht="12.75">
      <c r="A342" s="20"/>
      <c r="B342" s="21" t="s">
        <v>280</v>
      </c>
      <c r="C342" s="22">
        <f t="shared" si="13"/>
        <v>983000</v>
      </c>
      <c r="D342" s="22">
        <f>483000+500000</f>
        <v>983000</v>
      </c>
      <c r="E342" s="48">
        <v>0</v>
      </c>
    </row>
    <row r="343" spans="1:5" ht="12.75">
      <c r="A343" s="16" t="s">
        <v>199</v>
      </c>
      <c r="B343" s="17" t="s">
        <v>200</v>
      </c>
      <c r="C343" s="18">
        <f t="shared" si="13"/>
        <v>41926</v>
      </c>
      <c r="D343" s="18">
        <f>SUM(D344)</f>
        <v>0</v>
      </c>
      <c r="E343" s="18">
        <f>SUM(E344)</f>
        <v>41926</v>
      </c>
    </row>
    <row r="344" spans="1:5" ht="12.75">
      <c r="A344" s="16"/>
      <c r="B344" s="17" t="s">
        <v>280</v>
      </c>
      <c r="C344" s="18">
        <f t="shared" si="13"/>
        <v>41926</v>
      </c>
      <c r="D344" s="18">
        <v>0</v>
      </c>
      <c r="E344" s="18">
        <v>41926</v>
      </c>
    </row>
    <row r="345" spans="1:5" ht="12.75">
      <c r="A345" s="16"/>
      <c r="B345" s="17" t="s">
        <v>67</v>
      </c>
      <c r="C345" s="18"/>
      <c r="D345" s="18"/>
      <c r="E345" s="18"/>
    </row>
    <row r="346" spans="1:5" ht="12.75">
      <c r="A346" s="20"/>
      <c r="B346" s="21" t="s">
        <v>35</v>
      </c>
      <c r="C346" s="22">
        <f>SUM(D346,E346)</f>
        <v>39076</v>
      </c>
      <c r="D346" s="22">
        <v>0</v>
      </c>
      <c r="E346" s="22">
        <v>39076</v>
      </c>
    </row>
    <row r="347" spans="1:5" ht="12.75">
      <c r="A347" s="16" t="s">
        <v>201</v>
      </c>
      <c r="B347" s="17" t="s">
        <v>181</v>
      </c>
      <c r="C347" s="15">
        <f>SUM(D347,E347)</f>
        <v>19000</v>
      </c>
      <c r="D347" s="18">
        <v>0</v>
      </c>
      <c r="E347" s="18">
        <f>SUM(E348)</f>
        <v>19000</v>
      </c>
    </row>
    <row r="348" spans="1:5" ht="12.75">
      <c r="A348" s="20"/>
      <c r="B348" s="21" t="s">
        <v>280</v>
      </c>
      <c r="C348" s="22">
        <f>SUM(D348,E348)</f>
        <v>19000</v>
      </c>
      <c r="D348" s="22">
        <v>0</v>
      </c>
      <c r="E348" s="22">
        <v>19000</v>
      </c>
    </row>
    <row r="349" spans="1:5" ht="12.75">
      <c r="A349" s="13" t="s">
        <v>202</v>
      </c>
      <c r="B349" s="14" t="s">
        <v>14</v>
      </c>
      <c r="C349" s="15">
        <f>SUM(D349,E349)</f>
        <v>211800</v>
      </c>
      <c r="D349" s="15">
        <f>SUM(D350,D353)</f>
        <v>211800</v>
      </c>
      <c r="E349" s="15">
        <f>SUM(E350)</f>
        <v>0</v>
      </c>
    </row>
    <row r="350" spans="1:5" ht="12.75">
      <c r="A350" s="16"/>
      <c r="B350" s="17" t="s">
        <v>19</v>
      </c>
      <c r="C350" s="18">
        <f>SUM(D350,E350)</f>
        <v>11800</v>
      </c>
      <c r="D350" s="18">
        <v>11800</v>
      </c>
      <c r="E350" s="18">
        <v>0</v>
      </c>
    </row>
    <row r="351" spans="1:5" ht="12.75">
      <c r="A351" s="16"/>
      <c r="B351" s="17" t="s">
        <v>67</v>
      </c>
      <c r="C351" s="18"/>
      <c r="D351" s="18"/>
      <c r="E351" s="18"/>
    </row>
    <row r="352" spans="1:5" ht="12.75">
      <c r="A352" s="16"/>
      <c r="B352" s="17" t="s">
        <v>340</v>
      </c>
      <c r="C352" s="18">
        <f>SUM(D352,E352)</f>
        <v>2500</v>
      </c>
      <c r="D352" s="18">
        <v>2500</v>
      </c>
      <c r="E352" s="18">
        <v>0</v>
      </c>
    </row>
    <row r="353" spans="1:6" s="47" customFormat="1" ht="12.75">
      <c r="A353" s="61"/>
      <c r="B353" s="62" t="s">
        <v>26</v>
      </c>
      <c r="C353" s="48">
        <f>SUM(D353,E353)</f>
        <v>200000</v>
      </c>
      <c r="D353" s="48">
        <v>200000</v>
      </c>
      <c r="E353" s="48">
        <v>0</v>
      </c>
      <c r="F353" s="46"/>
    </row>
    <row r="354" spans="1:5" ht="15" customHeight="1">
      <c r="A354" s="23" t="s">
        <v>203</v>
      </c>
      <c r="B354" s="24" t="s">
        <v>204</v>
      </c>
      <c r="C354" s="29">
        <f>SUM(D354,E354)</f>
        <v>43820539</v>
      </c>
      <c r="D354" s="29">
        <f>SUM(D355,D360,D364,D366,D370,D374,D379,D377)</f>
        <v>43820539</v>
      </c>
      <c r="E354" s="29">
        <f>SUM(E355,E360,E364,E366,E370,E374,E379)</f>
        <v>0</v>
      </c>
    </row>
    <row r="355" spans="1:5" ht="12.75">
      <c r="A355" s="16" t="s">
        <v>205</v>
      </c>
      <c r="B355" s="17" t="s">
        <v>206</v>
      </c>
      <c r="C355" s="18">
        <f>SUM(D355,E355)</f>
        <v>32194339</v>
      </c>
      <c r="D355" s="18">
        <f>SUM(D356,D359)</f>
        <v>32194339</v>
      </c>
      <c r="E355" s="18">
        <v>0</v>
      </c>
    </row>
    <row r="356" spans="1:5" ht="12.75">
      <c r="A356" s="16"/>
      <c r="B356" s="17" t="s">
        <v>316</v>
      </c>
      <c r="C356" s="18">
        <f>SUM(D356,E356)</f>
        <v>550000</v>
      </c>
      <c r="D356" s="18">
        <v>550000</v>
      </c>
      <c r="E356" s="18">
        <v>0</v>
      </c>
    </row>
    <row r="357" spans="1:5" ht="12.75">
      <c r="A357" s="16"/>
      <c r="B357" s="17" t="s">
        <v>67</v>
      </c>
      <c r="C357" s="18"/>
      <c r="D357" s="18"/>
      <c r="E357" s="18"/>
    </row>
    <row r="358" spans="1:5" ht="12.75">
      <c r="A358" s="16"/>
      <c r="B358" s="17" t="s">
        <v>35</v>
      </c>
      <c r="C358" s="18">
        <f>SUM(D358,E358)</f>
        <v>0</v>
      </c>
      <c r="D358" s="18">
        <v>0</v>
      </c>
      <c r="E358" s="18">
        <v>0</v>
      </c>
    </row>
    <row r="359" spans="1:6" s="47" customFormat="1" ht="12.75">
      <c r="A359" s="61"/>
      <c r="B359" s="62" t="s">
        <v>26</v>
      </c>
      <c r="C359" s="45">
        <f>SUM(D359,E359)</f>
        <v>31644339</v>
      </c>
      <c r="D359" s="48">
        <v>31644339</v>
      </c>
      <c r="E359" s="48">
        <v>0</v>
      </c>
      <c r="F359" s="46"/>
    </row>
    <row r="360" spans="1:6" s="47" customFormat="1" ht="12.75">
      <c r="A360" s="13" t="s">
        <v>207</v>
      </c>
      <c r="B360" s="14" t="s">
        <v>208</v>
      </c>
      <c r="C360" s="15">
        <f>SUM(D360,E360)</f>
        <v>586700</v>
      </c>
      <c r="D360" s="15">
        <f>SUM(D361)</f>
        <v>586700</v>
      </c>
      <c r="E360" s="15">
        <f>SUM(E361)</f>
        <v>0</v>
      </c>
      <c r="F360" s="46"/>
    </row>
    <row r="361" spans="1:6" s="47" customFormat="1" ht="12.75">
      <c r="A361" s="16"/>
      <c r="B361" s="17" t="s">
        <v>280</v>
      </c>
      <c r="C361" s="18">
        <f>SUM(D361,E361)</f>
        <v>586700</v>
      </c>
      <c r="D361" s="18">
        <v>586700</v>
      </c>
      <c r="E361" s="18">
        <v>0</v>
      </c>
      <c r="F361" s="46"/>
    </row>
    <row r="362" spans="1:6" s="47" customFormat="1" ht="12.75">
      <c r="A362" s="16"/>
      <c r="B362" s="17" t="s">
        <v>67</v>
      </c>
      <c r="C362" s="18"/>
      <c r="D362" s="18"/>
      <c r="E362" s="18"/>
      <c r="F362" s="46"/>
    </row>
    <row r="363" spans="1:6" s="47" customFormat="1" ht="12.75">
      <c r="A363" s="20"/>
      <c r="B363" s="21" t="s">
        <v>89</v>
      </c>
      <c r="C363" s="22">
        <f>SUM(D363,E363)</f>
        <v>314900</v>
      </c>
      <c r="D363" s="22">
        <v>314900</v>
      </c>
      <c r="E363" s="22">
        <v>0</v>
      </c>
      <c r="F363" s="46"/>
    </row>
    <row r="364" spans="1:6" s="47" customFormat="1" ht="12.75">
      <c r="A364" s="16" t="s">
        <v>209</v>
      </c>
      <c r="B364" s="17" t="s">
        <v>210</v>
      </c>
      <c r="C364" s="18">
        <f>SUM(D364,E364)</f>
        <v>1700000</v>
      </c>
      <c r="D364" s="18">
        <f>SUM(D365)</f>
        <v>1700000</v>
      </c>
      <c r="E364" s="18">
        <f>SUM(E365)</f>
        <v>0</v>
      </c>
      <c r="F364" s="46"/>
    </row>
    <row r="365" spans="1:6" s="47" customFormat="1" ht="12.75">
      <c r="A365" s="20"/>
      <c r="B365" s="21" t="s">
        <v>316</v>
      </c>
      <c r="C365" s="22">
        <f>SUM(D365,E365)</f>
        <v>1700000</v>
      </c>
      <c r="D365" s="22">
        <v>1700000</v>
      </c>
      <c r="E365" s="22">
        <v>0</v>
      </c>
      <c r="F365" s="46"/>
    </row>
    <row r="366" spans="1:6" s="47" customFormat="1" ht="13.5" customHeight="1">
      <c r="A366" s="16" t="s">
        <v>211</v>
      </c>
      <c r="B366" s="17" t="s">
        <v>212</v>
      </c>
      <c r="C366" s="18">
        <f>SUM(D366,E366)</f>
        <v>1277000</v>
      </c>
      <c r="D366" s="18">
        <f>SUM(D367)</f>
        <v>1277000</v>
      </c>
      <c r="E366" s="18">
        <f>SUM(E367)</f>
        <v>0</v>
      </c>
      <c r="F366" s="46"/>
    </row>
    <row r="367" spans="1:6" s="47" customFormat="1" ht="12.75">
      <c r="A367" s="16"/>
      <c r="B367" s="17" t="s">
        <v>19</v>
      </c>
      <c r="C367" s="18">
        <f>SUM(D367,E367)</f>
        <v>1277000</v>
      </c>
      <c r="D367" s="18">
        <v>1277000</v>
      </c>
      <c r="E367" s="18">
        <v>0</v>
      </c>
      <c r="F367" s="46"/>
    </row>
    <row r="368" spans="1:6" s="47" customFormat="1" ht="12.75">
      <c r="A368" s="16"/>
      <c r="B368" s="17" t="s">
        <v>67</v>
      </c>
      <c r="C368" s="18"/>
      <c r="D368" s="18"/>
      <c r="E368" s="18"/>
      <c r="F368" s="46"/>
    </row>
    <row r="369" spans="1:6" s="47" customFormat="1" ht="12.75">
      <c r="A369" s="20"/>
      <c r="B369" s="21" t="s">
        <v>308</v>
      </c>
      <c r="C369" s="22">
        <f>SUM(D369,E369)</f>
        <v>10200</v>
      </c>
      <c r="D369" s="22">
        <f>3000+7200</f>
        <v>10200</v>
      </c>
      <c r="E369" s="22">
        <v>0</v>
      </c>
      <c r="F369" s="46"/>
    </row>
    <row r="370" spans="1:6" s="47" customFormat="1" ht="12.75">
      <c r="A370" s="16" t="s">
        <v>213</v>
      </c>
      <c r="B370" s="17" t="s">
        <v>214</v>
      </c>
      <c r="C370" s="18">
        <f>SUM(D370,E370)</f>
        <v>200000</v>
      </c>
      <c r="D370" s="18">
        <f>SUM(D371)</f>
        <v>200000</v>
      </c>
      <c r="E370" s="18">
        <f>SUM(E371)</f>
        <v>0</v>
      </c>
      <c r="F370" s="46"/>
    </row>
    <row r="371" spans="1:6" s="47" customFormat="1" ht="12.75">
      <c r="A371" s="16"/>
      <c r="B371" s="17" t="s">
        <v>278</v>
      </c>
      <c r="C371" s="18">
        <f>SUM(D371,E371)</f>
        <v>200000</v>
      </c>
      <c r="D371" s="18">
        <f>220000-20000</f>
        <v>200000</v>
      </c>
      <c r="E371" s="18">
        <v>0</v>
      </c>
      <c r="F371" s="46"/>
    </row>
    <row r="372" spans="1:6" s="47" customFormat="1" ht="12.75">
      <c r="A372" s="16"/>
      <c r="B372" s="17" t="s">
        <v>67</v>
      </c>
      <c r="C372" s="18"/>
      <c r="D372" s="18"/>
      <c r="E372" s="18"/>
      <c r="F372" s="46"/>
    </row>
    <row r="373" spans="1:6" s="47" customFormat="1" ht="12.75">
      <c r="A373" s="20"/>
      <c r="B373" s="21" t="s">
        <v>89</v>
      </c>
      <c r="C373" s="22">
        <f aca="true" t="shared" si="14" ref="C373:C384">SUM(D373,E373)</f>
        <v>200000</v>
      </c>
      <c r="D373" s="22">
        <f>220000-20000</f>
        <v>200000</v>
      </c>
      <c r="E373" s="22">
        <v>0</v>
      </c>
      <c r="F373" s="46"/>
    </row>
    <row r="374" spans="1:6" s="47" customFormat="1" ht="12.75">
      <c r="A374" s="16" t="s">
        <v>215</v>
      </c>
      <c r="B374" s="17" t="s">
        <v>216</v>
      </c>
      <c r="C374" s="18">
        <f t="shared" si="14"/>
        <v>5600000</v>
      </c>
      <c r="D374" s="45">
        <f>SUM(D376,D375)</f>
        <v>5600000</v>
      </c>
      <c r="E374" s="18">
        <f>SUM(E376)</f>
        <v>0</v>
      </c>
      <c r="F374" s="46"/>
    </row>
    <row r="375" spans="1:6" s="47" customFormat="1" ht="12.75">
      <c r="A375" s="16"/>
      <c r="B375" s="17" t="s">
        <v>278</v>
      </c>
      <c r="C375" s="18">
        <f t="shared" si="14"/>
        <v>5200000</v>
      </c>
      <c r="D375" s="45">
        <f>5600000-400000</f>
        <v>5200000</v>
      </c>
      <c r="E375" s="18">
        <v>0</v>
      </c>
      <c r="F375" s="46"/>
    </row>
    <row r="376" spans="1:6" s="47" customFormat="1" ht="12.75">
      <c r="A376" s="61"/>
      <c r="B376" s="62" t="s">
        <v>26</v>
      </c>
      <c r="C376" s="48">
        <f t="shared" si="14"/>
        <v>400000</v>
      </c>
      <c r="D376" s="48">
        <v>400000</v>
      </c>
      <c r="E376" s="48">
        <v>0</v>
      </c>
      <c r="F376" s="46"/>
    </row>
    <row r="377" spans="1:5" ht="25.5" customHeight="1">
      <c r="A377" s="16" t="s">
        <v>217</v>
      </c>
      <c r="B377" s="17" t="s">
        <v>218</v>
      </c>
      <c r="C377" s="38">
        <f t="shared" si="14"/>
        <v>32500</v>
      </c>
      <c r="D377" s="38">
        <f>SUM(D378)</f>
        <v>32500</v>
      </c>
      <c r="E377" s="38">
        <v>0</v>
      </c>
    </row>
    <row r="378" spans="1:5" ht="12.75">
      <c r="A378" s="20"/>
      <c r="B378" s="21" t="s">
        <v>278</v>
      </c>
      <c r="C378" s="22">
        <f t="shared" si="14"/>
        <v>32500</v>
      </c>
      <c r="D378" s="22">
        <v>32500</v>
      </c>
      <c r="E378" s="22">
        <v>0</v>
      </c>
    </row>
    <row r="379" spans="1:5" ht="12.75">
      <c r="A379" s="16" t="s">
        <v>219</v>
      </c>
      <c r="B379" s="17" t="s">
        <v>14</v>
      </c>
      <c r="C379" s="18">
        <f t="shared" si="14"/>
        <v>2230000</v>
      </c>
      <c r="D379" s="18">
        <f>SUM(D380,D381)</f>
        <v>2230000</v>
      </c>
      <c r="E379" s="18">
        <f>SUM(E380)</f>
        <v>0</v>
      </c>
    </row>
    <row r="380" spans="1:5" ht="12.75">
      <c r="A380" s="16"/>
      <c r="B380" s="17" t="s">
        <v>33</v>
      </c>
      <c r="C380" s="18">
        <f t="shared" si="14"/>
        <v>380000</v>
      </c>
      <c r="D380" s="45">
        <v>380000</v>
      </c>
      <c r="E380" s="18">
        <v>0</v>
      </c>
    </row>
    <row r="381" spans="1:6" s="47" customFormat="1" ht="12.75">
      <c r="A381" s="61"/>
      <c r="B381" s="62" t="s">
        <v>26</v>
      </c>
      <c r="C381" s="48">
        <f t="shared" si="14"/>
        <v>1850000</v>
      </c>
      <c r="D381" s="48">
        <v>1850000</v>
      </c>
      <c r="E381" s="48">
        <v>0</v>
      </c>
      <c r="F381" s="46"/>
    </row>
    <row r="382" spans="1:5" ht="12.75" customHeight="1">
      <c r="A382" s="23" t="s">
        <v>220</v>
      </c>
      <c r="B382" s="24" t="s">
        <v>221</v>
      </c>
      <c r="C382" s="29">
        <f t="shared" si="14"/>
        <v>5513600</v>
      </c>
      <c r="D382" s="29">
        <f>SUM(D383,D387,D391,D395,D399,D403,D407,D411,D415,D420,D422)</f>
        <v>2781200</v>
      </c>
      <c r="E382" s="29">
        <f>SUM(E383,E387,E391,E395,E399,E403,E407,E411,E415,E420,E422)</f>
        <v>2732400</v>
      </c>
    </row>
    <row r="383" spans="1:5" ht="13.5" customHeight="1">
      <c r="A383" s="16" t="s">
        <v>222</v>
      </c>
      <c r="B383" s="17" t="s">
        <v>223</v>
      </c>
      <c r="C383" s="18">
        <f t="shared" si="14"/>
        <v>80000</v>
      </c>
      <c r="D383" s="18">
        <f>SUM(D384)</f>
        <v>80000</v>
      </c>
      <c r="E383" s="18">
        <f>SUM(E384)</f>
        <v>0</v>
      </c>
    </row>
    <row r="384" spans="1:5" ht="12.75">
      <c r="A384" s="16"/>
      <c r="B384" s="17" t="s">
        <v>316</v>
      </c>
      <c r="C384" s="18">
        <f t="shared" si="14"/>
        <v>80000</v>
      </c>
      <c r="D384" s="18">
        <v>80000</v>
      </c>
      <c r="E384" s="18">
        <v>0</v>
      </c>
    </row>
    <row r="385" spans="1:5" ht="12.75">
      <c r="A385" s="16"/>
      <c r="B385" s="17" t="s">
        <v>67</v>
      </c>
      <c r="C385" s="18"/>
      <c r="D385" s="18"/>
      <c r="E385" s="18"/>
    </row>
    <row r="386" spans="1:5" ht="12.75">
      <c r="A386" s="20"/>
      <c r="B386" s="21" t="s">
        <v>89</v>
      </c>
      <c r="C386" s="22">
        <f>SUM(D386,E386)</f>
        <v>80000</v>
      </c>
      <c r="D386" s="22">
        <v>80000</v>
      </c>
      <c r="E386" s="22">
        <v>0</v>
      </c>
    </row>
    <row r="387" spans="1:5" ht="12.75">
      <c r="A387" s="16" t="s">
        <v>224</v>
      </c>
      <c r="B387" s="17" t="s">
        <v>343</v>
      </c>
      <c r="C387" s="18">
        <f>SUM(D387,E387)</f>
        <v>40000</v>
      </c>
      <c r="D387" s="18">
        <f>SUM(D388)</f>
        <v>40000</v>
      </c>
      <c r="E387" s="18">
        <f>SUM(E388)</f>
        <v>0</v>
      </c>
    </row>
    <row r="388" spans="1:5" ht="12.75">
      <c r="A388" s="16"/>
      <c r="B388" s="17" t="s">
        <v>316</v>
      </c>
      <c r="C388" s="18">
        <f>SUM(D388,E388)</f>
        <v>40000</v>
      </c>
      <c r="D388" s="18">
        <f>30000+10000</f>
        <v>40000</v>
      </c>
      <c r="E388" s="18">
        <v>0</v>
      </c>
    </row>
    <row r="389" spans="1:5" ht="12.75">
      <c r="A389" s="16"/>
      <c r="B389" s="17" t="s">
        <v>67</v>
      </c>
      <c r="C389" s="18"/>
      <c r="D389" s="18"/>
      <c r="E389" s="18"/>
    </row>
    <row r="390" spans="1:5" ht="12.75">
      <c r="A390" s="20"/>
      <c r="B390" s="21" t="s">
        <v>89</v>
      </c>
      <c r="C390" s="22">
        <f>SUM(D390,E390)</f>
        <v>40000</v>
      </c>
      <c r="D390" s="22">
        <f>30000+10000</f>
        <v>40000</v>
      </c>
      <c r="E390" s="22">
        <v>0</v>
      </c>
    </row>
    <row r="391" spans="1:5" ht="12.75">
      <c r="A391" s="16" t="s">
        <v>225</v>
      </c>
      <c r="B391" s="17" t="s">
        <v>226</v>
      </c>
      <c r="C391" s="18">
        <f>SUM(D391,E391)</f>
        <v>2154000</v>
      </c>
      <c r="D391" s="18">
        <f>SUM(D392)</f>
        <v>293000</v>
      </c>
      <c r="E391" s="45">
        <f>SUM(E392)</f>
        <v>1861000</v>
      </c>
    </row>
    <row r="392" spans="1:5" ht="12.75">
      <c r="A392" s="16"/>
      <c r="B392" s="17" t="s">
        <v>316</v>
      </c>
      <c r="C392" s="18">
        <f>SUM(D392,E392)</f>
        <v>2154000</v>
      </c>
      <c r="D392" s="18">
        <f>193000+100000</f>
        <v>293000</v>
      </c>
      <c r="E392" s="45">
        <f>1661000-200000+400000</f>
        <v>1861000</v>
      </c>
    </row>
    <row r="393" spans="1:5" ht="12.75">
      <c r="A393" s="16"/>
      <c r="B393" s="17" t="s">
        <v>67</v>
      </c>
      <c r="C393" s="18"/>
      <c r="D393" s="18"/>
      <c r="E393" s="45"/>
    </row>
    <row r="394" spans="1:5" ht="12.75">
      <c r="A394" s="20"/>
      <c r="B394" s="21" t="s">
        <v>89</v>
      </c>
      <c r="C394" s="22">
        <f>SUM(D394,E394)</f>
        <v>2154000</v>
      </c>
      <c r="D394" s="22">
        <f>193000+100000</f>
        <v>293000</v>
      </c>
      <c r="E394" s="48">
        <f>1661000-200000+400000</f>
        <v>1861000</v>
      </c>
    </row>
    <row r="395" spans="1:5" ht="13.5" customHeight="1">
      <c r="A395" s="13" t="s">
        <v>227</v>
      </c>
      <c r="B395" s="14" t="s">
        <v>228</v>
      </c>
      <c r="C395" s="15">
        <f>SUM(D395,E395)</f>
        <v>884000</v>
      </c>
      <c r="D395" s="15">
        <f>SUM(D396)</f>
        <v>884000</v>
      </c>
      <c r="E395" s="15">
        <f>SUM(E396)</f>
        <v>0</v>
      </c>
    </row>
    <row r="396" spans="1:5" ht="12.75">
      <c r="A396" s="16"/>
      <c r="B396" s="17" t="s">
        <v>316</v>
      </c>
      <c r="C396" s="18">
        <f>SUM(D396,E396)</f>
        <v>884000</v>
      </c>
      <c r="D396" s="18">
        <v>884000</v>
      </c>
      <c r="E396" s="18">
        <v>0</v>
      </c>
    </row>
    <row r="397" spans="1:5" ht="12.75">
      <c r="A397" s="16"/>
      <c r="B397" s="17" t="s">
        <v>67</v>
      </c>
      <c r="C397" s="18"/>
      <c r="D397" s="18"/>
      <c r="E397" s="18"/>
    </row>
    <row r="398" spans="1:5" ht="12.75">
      <c r="A398" s="20"/>
      <c r="B398" s="21" t="s">
        <v>89</v>
      </c>
      <c r="C398" s="22">
        <f>SUM(D398,E398)</f>
        <v>884000</v>
      </c>
      <c r="D398" s="22">
        <v>884000</v>
      </c>
      <c r="E398" s="22">
        <v>0</v>
      </c>
    </row>
    <row r="399" spans="1:5" ht="12.75">
      <c r="A399" s="16" t="s">
        <v>229</v>
      </c>
      <c r="B399" s="17" t="s">
        <v>230</v>
      </c>
      <c r="C399" s="18">
        <f>SUM(D399,E399)</f>
        <v>203000</v>
      </c>
      <c r="D399" s="18">
        <f>SUM(D400)</f>
        <v>10000</v>
      </c>
      <c r="E399" s="45">
        <f>SUM(E400)</f>
        <v>193000</v>
      </c>
    </row>
    <row r="400" spans="1:5" ht="12.75">
      <c r="A400" s="16"/>
      <c r="B400" s="17" t="s">
        <v>316</v>
      </c>
      <c r="C400" s="18">
        <f>SUM(D400,E400)</f>
        <v>203000</v>
      </c>
      <c r="D400" s="18">
        <v>10000</v>
      </c>
      <c r="E400" s="45">
        <v>193000</v>
      </c>
    </row>
    <row r="401" spans="1:5" ht="12.75">
      <c r="A401" s="16"/>
      <c r="B401" s="17" t="s">
        <v>67</v>
      </c>
      <c r="C401" s="18"/>
      <c r="D401" s="18"/>
      <c r="E401" s="45"/>
    </row>
    <row r="402" spans="1:5" ht="12.75">
      <c r="A402" s="20"/>
      <c r="B402" s="21" t="s">
        <v>89</v>
      </c>
      <c r="C402" s="22">
        <f>SUM(D402,E402)</f>
        <v>203000</v>
      </c>
      <c r="D402" s="22">
        <v>10000</v>
      </c>
      <c r="E402" s="48">
        <v>193000</v>
      </c>
    </row>
    <row r="403" spans="1:5" ht="12.75">
      <c r="A403" s="16" t="s">
        <v>231</v>
      </c>
      <c r="B403" s="17" t="s">
        <v>232</v>
      </c>
      <c r="C403" s="18">
        <f>SUM(D403,E403)</f>
        <v>48000</v>
      </c>
      <c r="D403" s="18">
        <f>SUM(D404)</f>
        <v>48000</v>
      </c>
      <c r="E403" s="18">
        <f>SUM(E404)</f>
        <v>0</v>
      </c>
    </row>
    <row r="404" spans="1:5" ht="12.75">
      <c r="A404" s="16"/>
      <c r="B404" s="17" t="s">
        <v>316</v>
      </c>
      <c r="C404" s="18">
        <f>SUM(D404,E404)</f>
        <v>48000</v>
      </c>
      <c r="D404" s="18">
        <f>43000+5000</f>
        <v>48000</v>
      </c>
      <c r="E404" s="18">
        <v>0</v>
      </c>
    </row>
    <row r="405" spans="1:5" ht="12.75">
      <c r="A405" s="16"/>
      <c r="B405" s="17" t="s">
        <v>67</v>
      </c>
      <c r="C405" s="18"/>
      <c r="D405" s="18"/>
      <c r="E405" s="18"/>
    </row>
    <row r="406" spans="1:5" ht="12.75">
      <c r="A406" s="20"/>
      <c r="B406" s="21" t="s">
        <v>89</v>
      </c>
      <c r="C406" s="22">
        <f>SUM(D406,E406)</f>
        <v>48000</v>
      </c>
      <c r="D406" s="22">
        <f>43000+5000</f>
        <v>48000</v>
      </c>
      <c r="E406" s="22">
        <v>0</v>
      </c>
    </row>
    <row r="407" spans="1:5" ht="12.75">
      <c r="A407" s="16" t="s">
        <v>233</v>
      </c>
      <c r="B407" s="17" t="s">
        <v>234</v>
      </c>
      <c r="C407" s="18">
        <f>SUM(D407,E407)</f>
        <v>1698400</v>
      </c>
      <c r="D407" s="18">
        <f>SUM(D408)</f>
        <v>1020000</v>
      </c>
      <c r="E407" s="45">
        <f>SUM(E408)</f>
        <v>678400</v>
      </c>
    </row>
    <row r="408" spans="1:5" ht="12.75">
      <c r="A408" s="16"/>
      <c r="B408" s="17" t="s">
        <v>316</v>
      </c>
      <c r="C408" s="18">
        <f>SUM(D408,E408)</f>
        <v>1698400</v>
      </c>
      <c r="D408" s="18">
        <f>670000+350000</f>
        <v>1020000</v>
      </c>
      <c r="E408" s="45">
        <f>778400-100000</f>
        <v>678400</v>
      </c>
    </row>
    <row r="409" spans="1:5" ht="12.75">
      <c r="A409" s="16"/>
      <c r="B409" s="17" t="s">
        <v>67</v>
      </c>
      <c r="C409" s="18"/>
      <c r="D409" s="18"/>
      <c r="E409" s="45"/>
    </row>
    <row r="410" spans="1:5" ht="12.75">
      <c r="A410" s="20"/>
      <c r="B410" s="21" t="s">
        <v>89</v>
      </c>
      <c r="C410" s="22">
        <f>SUM(D410,E410)</f>
        <v>1698400</v>
      </c>
      <c r="D410" s="22">
        <f>670000+350000</f>
        <v>1020000</v>
      </c>
      <c r="E410" s="48">
        <f>778400-100000</f>
        <v>678400</v>
      </c>
    </row>
    <row r="411" spans="1:5" ht="12.75">
      <c r="A411" s="16" t="s">
        <v>235</v>
      </c>
      <c r="B411" s="17" t="s">
        <v>236</v>
      </c>
      <c r="C411" s="18">
        <f>SUM(D411,E411)</f>
        <v>10000</v>
      </c>
      <c r="D411" s="18">
        <f>SUM(D412)</f>
        <v>10000</v>
      </c>
      <c r="E411" s="18">
        <f>SUM(E412)</f>
        <v>0</v>
      </c>
    </row>
    <row r="412" spans="1:5" ht="12.75">
      <c r="A412" s="16"/>
      <c r="B412" s="17" t="s">
        <v>316</v>
      </c>
      <c r="C412" s="18">
        <f>SUM(D412,E412)</f>
        <v>10000</v>
      </c>
      <c r="D412" s="18">
        <v>10000</v>
      </c>
      <c r="E412" s="18">
        <v>0</v>
      </c>
    </row>
    <row r="413" spans="1:5" ht="12.75">
      <c r="A413" s="16"/>
      <c r="B413" s="17" t="s">
        <v>67</v>
      </c>
      <c r="C413" s="18"/>
      <c r="D413" s="18"/>
      <c r="E413" s="18"/>
    </row>
    <row r="414" spans="1:5" ht="12.75">
      <c r="A414" s="20"/>
      <c r="B414" s="21" t="s">
        <v>89</v>
      </c>
      <c r="C414" s="22">
        <f>SUM(D414,E414)</f>
        <v>10000</v>
      </c>
      <c r="D414" s="22">
        <v>10000</v>
      </c>
      <c r="E414" s="22">
        <v>0</v>
      </c>
    </row>
    <row r="415" spans="1:5" ht="12.75">
      <c r="A415" s="16" t="s">
        <v>237</v>
      </c>
      <c r="B415" s="17" t="s">
        <v>307</v>
      </c>
      <c r="C415" s="18">
        <f>SUM(D415,E415)</f>
        <v>122000</v>
      </c>
      <c r="D415" s="18">
        <f>SUM(D416)</f>
        <v>122000</v>
      </c>
      <c r="E415" s="18">
        <f>SUM(E416)</f>
        <v>0</v>
      </c>
    </row>
    <row r="416" spans="1:5" ht="12.75">
      <c r="A416" s="16"/>
      <c r="B416" s="17" t="s">
        <v>316</v>
      </c>
      <c r="C416" s="18">
        <f>SUM(D416,E416)</f>
        <v>122000</v>
      </c>
      <c r="D416" s="18">
        <f>115000+7000</f>
        <v>122000</v>
      </c>
      <c r="E416" s="18">
        <v>0</v>
      </c>
    </row>
    <row r="417" spans="1:5" ht="12.75">
      <c r="A417" s="16"/>
      <c r="B417" s="17" t="s">
        <v>67</v>
      </c>
      <c r="C417" s="18"/>
      <c r="D417" s="18"/>
      <c r="E417" s="18"/>
    </row>
    <row r="418" spans="1:5" ht="12.75">
      <c r="A418" s="16"/>
      <c r="B418" s="17" t="s">
        <v>35</v>
      </c>
      <c r="C418" s="18">
        <f aca="true" t="shared" si="15" ref="C418:C423">SUM(D418,E418)</f>
        <v>5000</v>
      </c>
      <c r="D418" s="18">
        <v>5000</v>
      </c>
      <c r="E418" s="18">
        <v>0</v>
      </c>
    </row>
    <row r="419" spans="1:5" ht="12.75">
      <c r="A419" s="20"/>
      <c r="B419" s="21" t="s">
        <v>89</v>
      </c>
      <c r="C419" s="22">
        <f t="shared" si="15"/>
        <v>45000</v>
      </c>
      <c r="D419" s="22">
        <f>38000+7000</f>
        <v>45000</v>
      </c>
      <c r="E419" s="22">
        <v>0</v>
      </c>
    </row>
    <row r="420" spans="1:5" ht="14.25" customHeight="1">
      <c r="A420" s="16" t="s">
        <v>238</v>
      </c>
      <c r="B420" s="17" t="s">
        <v>239</v>
      </c>
      <c r="C420" s="18">
        <f t="shared" si="15"/>
        <v>22000</v>
      </c>
      <c r="D420" s="18">
        <f>SUM(D421)</f>
        <v>22000</v>
      </c>
      <c r="E420" s="18">
        <f>SUM(E421)</f>
        <v>0</v>
      </c>
    </row>
    <row r="421" spans="1:5" ht="12.75">
      <c r="A421" s="16"/>
      <c r="B421" s="17" t="s">
        <v>280</v>
      </c>
      <c r="C421" s="18">
        <f t="shared" si="15"/>
        <v>22000</v>
      </c>
      <c r="D421" s="18">
        <v>22000</v>
      </c>
      <c r="E421" s="18">
        <v>0</v>
      </c>
    </row>
    <row r="422" spans="1:5" ht="12.75">
      <c r="A422" s="13" t="s">
        <v>240</v>
      </c>
      <c r="B422" s="14" t="s">
        <v>14</v>
      </c>
      <c r="C422" s="15">
        <f t="shared" si="15"/>
        <v>252200</v>
      </c>
      <c r="D422" s="15">
        <f>SUM(D423)</f>
        <v>252200</v>
      </c>
      <c r="E422" s="15">
        <f>SUM(E423)</f>
        <v>0</v>
      </c>
    </row>
    <row r="423" spans="1:5" ht="12.75">
      <c r="A423" s="16"/>
      <c r="B423" s="17" t="s">
        <v>19</v>
      </c>
      <c r="C423" s="18">
        <f t="shared" si="15"/>
        <v>252200</v>
      </c>
      <c r="D423" s="18">
        <f>242200+10000</f>
        <v>252200</v>
      </c>
      <c r="E423" s="18">
        <v>0</v>
      </c>
    </row>
    <row r="424" spans="1:5" ht="12.75">
      <c r="A424" s="16"/>
      <c r="B424" s="17" t="s">
        <v>67</v>
      </c>
      <c r="C424" s="18"/>
      <c r="D424" s="18"/>
      <c r="E424" s="18"/>
    </row>
    <row r="425" spans="1:5" ht="12.75">
      <c r="A425" s="20"/>
      <c r="B425" s="21" t="s">
        <v>35</v>
      </c>
      <c r="C425" s="22">
        <f aca="true" t="shared" si="16" ref="C425:C431">SUM(D425,E425)</f>
        <v>33500</v>
      </c>
      <c r="D425" s="22">
        <f>1500+32000</f>
        <v>33500</v>
      </c>
      <c r="E425" s="22">
        <v>0</v>
      </c>
    </row>
    <row r="426" spans="1:5" s="43" customFormat="1" ht="41.25" customHeight="1">
      <c r="A426" s="23" t="s">
        <v>241</v>
      </c>
      <c r="B426" s="24" t="s">
        <v>242</v>
      </c>
      <c r="C426" s="29">
        <f t="shared" si="16"/>
        <v>2000</v>
      </c>
      <c r="D426" s="29">
        <f>SUM(D427)</f>
        <v>2000</v>
      </c>
      <c r="E426" s="29">
        <f>SUM(E427)</f>
        <v>0</v>
      </c>
    </row>
    <row r="427" spans="1:5" ht="12.75">
      <c r="A427" s="16" t="s">
        <v>243</v>
      </c>
      <c r="B427" s="17" t="s">
        <v>244</v>
      </c>
      <c r="C427" s="18">
        <f t="shared" si="16"/>
        <v>2000</v>
      </c>
      <c r="D427" s="18">
        <f>SUM(D428)</f>
        <v>2000</v>
      </c>
      <c r="E427" s="18">
        <f>SUM(E428)</f>
        <v>0</v>
      </c>
    </row>
    <row r="428" spans="1:5" ht="12.75">
      <c r="A428" s="20"/>
      <c r="B428" s="21" t="s">
        <v>280</v>
      </c>
      <c r="C428" s="22">
        <f t="shared" si="16"/>
        <v>2000</v>
      </c>
      <c r="D428" s="22">
        <v>2000</v>
      </c>
      <c r="E428" s="22">
        <v>0</v>
      </c>
    </row>
    <row r="429" spans="1:5" ht="12.75">
      <c r="A429" s="23" t="s">
        <v>245</v>
      </c>
      <c r="B429" s="24" t="s">
        <v>246</v>
      </c>
      <c r="C429" s="26">
        <f t="shared" si="16"/>
        <v>3097700</v>
      </c>
      <c r="D429" s="26">
        <f>SUM(D430,D435,D440,D444)</f>
        <v>2880700</v>
      </c>
      <c r="E429" s="26">
        <f>SUM(E430,E435,E440,E444)</f>
        <v>217000</v>
      </c>
    </row>
    <row r="430" spans="1:5" ht="12.75">
      <c r="A430" s="16" t="s">
        <v>247</v>
      </c>
      <c r="B430" s="17" t="s">
        <v>248</v>
      </c>
      <c r="C430" s="18">
        <f t="shared" si="16"/>
        <v>645000</v>
      </c>
      <c r="D430" s="18">
        <f>SUM(D431,D434)</f>
        <v>645000</v>
      </c>
      <c r="E430" s="18">
        <f>SUM(E431)</f>
        <v>0</v>
      </c>
    </row>
    <row r="431" spans="1:5" ht="12.75">
      <c r="A431" s="16"/>
      <c r="B431" s="17" t="s">
        <v>280</v>
      </c>
      <c r="C431" s="18">
        <f t="shared" si="16"/>
        <v>245000</v>
      </c>
      <c r="D431" s="18">
        <v>245000</v>
      </c>
      <c r="E431" s="18">
        <v>0</v>
      </c>
    </row>
    <row r="432" spans="1:5" ht="12.75">
      <c r="A432" s="16"/>
      <c r="B432" s="17" t="s">
        <v>67</v>
      </c>
      <c r="C432" s="18"/>
      <c r="D432" s="18"/>
      <c r="E432" s="18"/>
    </row>
    <row r="433" spans="1:5" ht="12.75">
      <c r="A433" s="16"/>
      <c r="B433" s="17" t="s">
        <v>89</v>
      </c>
      <c r="C433" s="18">
        <f>SUM(D433,E433)</f>
        <v>135000</v>
      </c>
      <c r="D433" s="18">
        <v>135000</v>
      </c>
      <c r="E433" s="18">
        <v>0</v>
      </c>
    </row>
    <row r="434" spans="1:6" s="47" customFormat="1" ht="12.75">
      <c r="A434" s="61"/>
      <c r="B434" s="62" t="s">
        <v>26</v>
      </c>
      <c r="C434" s="48">
        <f>SUM(D434,E434)</f>
        <v>400000</v>
      </c>
      <c r="D434" s="48">
        <v>400000</v>
      </c>
      <c r="E434" s="48">
        <v>0</v>
      </c>
      <c r="F434" s="46"/>
    </row>
    <row r="435" spans="1:5" ht="12.75">
      <c r="A435" s="16" t="s">
        <v>249</v>
      </c>
      <c r="B435" s="17" t="s">
        <v>250</v>
      </c>
      <c r="C435" s="18">
        <f>SUM(D435,E435)</f>
        <v>1345500</v>
      </c>
      <c r="D435" s="18">
        <f>SUM(D436,D439)</f>
        <v>1320500</v>
      </c>
      <c r="E435" s="18">
        <f>SUM(E436)</f>
        <v>25000</v>
      </c>
    </row>
    <row r="436" spans="1:5" ht="12.75">
      <c r="A436" s="16"/>
      <c r="B436" s="17" t="s">
        <v>281</v>
      </c>
      <c r="C436" s="18">
        <f>SUM(D436,E436)</f>
        <v>1339000</v>
      </c>
      <c r="D436" s="18">
        <v>1314000</v>
      </c>
      <c r="E436" s="18">
        <v>25000</v>
      </c>
    </row>
    <row r="437" spans="1:5" ht="12.75">
      <c r="A437" s="16"/>
      <c r="B437" s="17" t="s">
        <v>67</v>
      </c>
      <c r="C437" s="18"/>
      <c r="D437" s="18"/>
      <c r="E437" s="18"/>
    </row>
    <row r="438" spans="1:5" ht="12.75">
      <c r="A438" s="16"/>
      <c r="B438" s="17" t="s">
        <v>89</v>
      </c>
      <c r="C438" s="18">
        <f>SUM(D438,E438)</f>
        <v>1339000</v>
      </c>
      <c r="D438" s="18">
        <v>1314000</v>
      </c>
      <c r="E438" s="18">
        <v>25000</v>
      </c>
    </row>
    <row r="439" spans="1:6" s="47" customFormat="1" ht="12.75">
      <c r="A439" s="61"/>
      <c r="B439" s="62" t="s">
        <v>26</v>
      </c>
      <c r="C439" s="48">
        <f>SUM(D439,E439)</f>
        <v>6500</v>
      </c>
      <c r="D439" s="48">
        <v>6500</v>
      </c>
      <c r="E439" s="48">
        <v>0</v>
      </c>
      <c r="F439" s="46"/>
    </row>
    <row r="440" spans="1:5" ht="14.25" customHeight="1">
      <c r="A440" s="16" t="s">
        <v>251</v>
      </c>
      <c r="B440" s="17" t="s">
        <v>252</v>
      </c>
      <c r="C440" s="18">
        <f>SUM(D440,E440)</f>
        <v>940000</v>
      </c>
      <c r="D440" s="18">
        <f>SUM(D441)</f>
        <v>748000</v>
      </c>
      <c r="E440" s="18">
        <f>SUM(E441)</f>
        <v>192000</v>
      </c>
    </row>
    <row r="441" spans="1:5" ht="12.75">
      <c r="A441" s="16"/>
      <c r="B441" s="17" t="s">
        <v>316</v>
      </c>
      <c r="C441" s="18">
        <f>SUM(D441,E441)</f>
        <v>940000</v>
      </c>
      <c r="D441" s="18">
        <v>748000</v>
      </c>
      <c r="E441" s="18">
        <v>192000</v>
      </c>
    </row>
    <row r="442" spans="1:5" ht="12.75">
      <c r="A442" s="16"/>
      <c r="B442" s="17" t="s">
        <v>67</v>
      </c>
      <c r="C442" s="18"/>
      <c r="D442" s="18"/>
      <c r="E442" s="18"/>
    </row>
    <row r="443" spans="1:5" ht="12.75">
      <c r="A443" s="20"/>
      <c r="B443" s="21" t="s">
        <v>89</v>
      </c>
      <c r="C443" s="22">
        <f>SUM(D443,E443)</f>
        <v>940000</v>
      </c>
      <c r="D443" s="22">
        <v>748000</v>
      </c>
      <c r="E443" s="22">
        <v>192000</v>
      </c>
    </row>
    <row r="444" spans="1:5" ht="12.75">
      <c r="A444" s="16" t="s">
        <v>253</v>
      </c>
      <c r="B444" s="17" t="s">
        <v>14</v>
      </c>
      <c r="C444" s="18">
        <f>SUM(D444,E444)</f>
        <v>167200</v>
      </c>
      <c r="D444" s="18">
        <f>SUM(D445)</f>
        <v>167200</v>
      </c>
      <c r="E444" s="18">
        <f>SUM(E445)</f>
        <v>0</v>
      </c>
    </row>
    <row r="445" spans="1:5" ht="12.75">
      <c r="A445" s="16"/>
      <c r="B445" s="17" t="s">
        <v>33</v>
      </c>
      <c r="C445" s="18">
        <f>SUM(D445,E445)</f>
        <v>167200</v>
      </c>
      <c r="D445" s="18">
        <v>167200</v>
      </c>
      <c r="E445" s="18">
        <v>0</v>
      </c>
    </row>
    <row r="446" spans="1:5" ht="12.75">
      <c r="A446" s="16"/>
      <c r="B446" s="17" t="s">
        <v>67</v>
      </c>
      <c r="C446" s="18"/>
      <c r="D446" s="18"/>
      <c r="E446" s="18"/>
    </row>
    <row r="447" spans="1:5" ht="13.5" thickBot="1">
      <c r="A447" s="20"/>
      <c r="B447" s="21" t="s">
        <v>35</v>
      </c>
      <c r="C447" s="22">
        <f aca="true" t="shared" si="17" ref="C447:C458">SUM(D447,E447)</f>
        <v>6500</v>
      </c>
      <c r="D447" s="22">
        <f>500+6000</f>
        <v>6500</v>
      </c>
      <c r="E447" s="22">
        <v>0</v>
      </c>
    </row>
    <row r="448" spans="1:5" ht="30.75" customHeight="1" thickBot="1" thickTop="1">
      <c r="A448" s="119" t="s">
        <v>254</v>
      </c>
      <c r="B448" s="119"/>
      <c r="C448" s="49">
        <f t="shared" si="17"/>
        <v>35420765</v>
      </c>
      <c r="D448" s="49">
        <f>SUM(D449,D452,D461,D470,D474,D483,D510,D488)</f>
        <v>26091582</v>
      </c>
      <c r="E448" s="49">
        <f>SUM(E449,E452,E461,E470,E474,E483,E510,E488)</f>
        <v>9329183</v>
      </c>
    </row>
    <row r="449" spans="1:5" ht="13.5" thickTop="1">
      <c r="A449" s="51" t="s">
        <v>45</v>
      </c>
      <c r="B449" s="52" t="s">
        <v>46</v>
      </c>
      <c r="C449" s="26">
        <f t="shared" si="17"/>
        <v>60000</v>
      </c>
      <c r="D449" s="26">
        <f>SUM(D450)</f>
        <v>0</v>
      </c>
      <c r="E449" s="26">
        <f>SUM(E450)</f>
        <v>60000</v>
      </c>
    </row>
    <row r="450" spans="1:5" ht="12.75">
      <c r="A450" s="53" t="s">
        <v>47</v>
      </c>
      <c r="B450" s="19" t="s">
        <v>255</v>
      </c>
      <c r="C450" s="18">
        <f t="shared" si="17"/>
        <v>60000</v>
      </c>
      <c r="D450" s="18">
        <f>SUM(D451)</f>
        <v>0</v>
      </c>
      <c r="E450" s="18">
        <f>SUM(E451)</f>
        <v>60000</v>
      </c>
    </row>
    <row r="451" spans="1:5" ht="12.75">
      <c r="A451" s="36"/>
      <c r="B451" s="37" t="s">
        <v>316</v>
      </c>
      <c r="C451" s="22">
        <f t="shared" si="17"/>
        <v>60000</v>
      </c>
      <c r="D451" s="22">
        <v>0</v>
      </c>
      <c r="E451" s="22">
        <v>60000</v>
      </c>
    </row>
    <row r="452" spans="1:5" ht="12.75">
      <c r="A452" s="51" t="s">
        <v>52</v>
      </c>
      <c r="B452" s="52" t="s">
        <v>53</v>
      </c>
      <c r="C452" s="26">
        <f t="shared" si="17"/>
        <v>338000</v>
      </c>
      <c r="D452" s="26">
        <f>SUM(D453,D455,D457)</f>
        <v>0</v>
      </c>
      <c r="E452" s="26">
        <f>SUM(E453,E455,E457)</f>
        <v>338000</v>
      </c>
    </row>
    <row r="453" spans="1:5" ht="27.75" customHeight="1">
      <c r="A453" s="54" t="s">
        <v>56</v>
      </c>
      <c r="B453" s="50" t="s">
        <v>57</v>
      </c>
      <c r="C453" s="30">
        <f t="shared" si="17"/>
        <v>102000</v>
      </c>
      <c r="D453" s="30">
        <f>SUM(D454)</f>
        <v>0</v>
      </c>
      <c r="E453" s="30">
        <f>SUM(E454)</f>
        <v>102000</v>
      </c>
    </row>
    <row r="454" spans="1:5" ht="12.75">
      <c r="A454" s="36"/>
      <c r="B454" s="37" t="s">
        <v>316</v>
      </c>
      <c r="C454" s="22">
        <f t="shared" si="17"/>
        <v>102000</v>
      </c>
      <c r="D454" s="22">
        <v>0</v>
      </c>
      <c r="E454" s="22">
        <v>102000</v>
      </c>
    </row>
    <row r="455" spans="1:5" ht="12.75">
      <c r="A455" s="53" t="s">
        <v>58</v>
      </c>
      <c r="B455" s="55" t="s">
        <v>59</v>
      </c>
      <c r="C455" s="15">
        <f t="shared" si="17"/>
        <v>11000</v>
      </c>
      <c r="D455" s="15">
        <f>SUM(D456)</f>
        <v>0</v>
      </c>
      <c r="E455" s="15">
        <f>SUM(E456)</f>
        <v>11000</v>
      </c>
    </row>
    <row r="456" spans="1:5" ht="12.75">
      <c r="A456" s="36"/>
      <c r="B456" s="37" t="s">
        <v>280</v>
      </c>
      <c r="C456" s="22">
        <f t="shared" si="17"/>
        <v>11000</v>
      </c>
      <c r="D456" s="22">
        <v>0</v>
      </c>
      <c r="E456" s="22">
        <v>11000</v>
      </c>
    </row>
    <row r="457" spans="1:5" ht="12.75">
      <c r="A457" s="53" t="s">
        <v>60</v>
      </c>
      <c r="B457" s="19" t="s">
        <v>256</v>
      </c>
      <c r="C457" s="18">
        <f t="shared" si="17"/>
        <v>225000</v>
      </c>
      <c r="D457" s="18">
        <f>SUM(D458)</f>
        <v>0</v>
      </c>
      <c r="E457" s="18">
        <f>SUM(E458,)</f>
        <v>225000</v>
      </c>
    </row>
    <row r="458" spans="1:5" ht="12.75">
      <c r="A458" s="35"/>
      <c r="B458" s="19" t="s">
        <v>281</v>
      </c>
      <c r="C458" s="18">
        <f t="shared" si="17"/>
        <v>225000</v>
      </c>
      <c r="D458" s="18">
        <v>0</v>
      </c>
      <c r="E458" s="18">
        <v>225000</v>
      </c>
    </row>
    <row r="459" spans="1:5" ht="12.75">
      <c r="A459" s="35"/>
      <c r="B459" s="19" t="s">
        <v>67</v>
      </c>
      <c r="C459" s="18"/>
      <c r="D459" s="18"/>
      <c r="E459" s="18"/>
    </row>
    <row r="460" spans="1:5" ht="12.75">
      <c r="A460" s="35"/>
      <c r="B460" s="19" t="s">
        <v>35</v>
      </c>
      <c r="C460" s="18">
        <f>SUM(D460,E460)</f>
        <v>214700</v>
      </c>
      <c r="D460" s="18">
        <v>0</v>
      </c>
      <c r="E460" s="45">
        <v>214700</v>
      </c>
    </row>
    <row r="461" spans="1:5" ht="12.75">
      <c r="A461" s="51" t="s">
        <v>63</v>
      </c>
      <c r="B461" s="52" t="s">
        <v>64</v>
      </c>
      <c r="C461" s="26">
        <f>SUM(D461,E461)</f>
        <v>836000</v>
      </c>
      <c r="D461" s="26">
        <f>SUM(D462,D466)</f>
        <v>582300</v>
      </c>
      <c r="E461" s="26">
        <f>SUM(E462,E466)</f>
        <v>253700</v>
      </c>
    </row>
    <row r="462" spans="1:5" ht="12.75">
      <c r="A462" s="53" t="s">
        <v>65</v>
      </c>
      <c r="B462" s="19" t="s">
        <v>66</v>
      </c>
      <c r="C462" s="18">
        <f>SUM(D462,E462)</f>
        <v>803000</v>
      </c>
      <c r="D462" s="18">
        <f>SUM(D463)</f>
        <v>582300</v>
      </c>
      <c r="E462" s="18">
        <f>SUM(E463)</f>
        <v>220700</v>
      </c>
    </row>
    <row r="463" spans="1:5" ht="12.75">
      <c r="A463" s="35"/>
      <c r="B463" s="19" t="s">
        <v>19</v>
      </c>
      <c r="C463" s="18">
        <f>SUM(D463,E463)</f>
        <v>803000</v>
      </c>
      <c r="D463" s="18">
        <v>582300</v>
      </c>
      <c r="E463" s="18">
        <v>220700</v>
      </c>
    </row>
    <row r="464" spans="1:5" ht="12.75">
      <c r="A464" s="35"/>
      <c r="B464" s="19" t="s">
        <v>67</v>
      </c>
      <c r="C464" s="18"/>
      <c r="D464" s="18"/>
      <c r="E464" s="18"/>
    </row>
    <row r="465" spans="1:5" ht="12.75">
      <c r="A465" s="36"/>
      <c r="B465" s="37" t="s">
        <v>308</v>
      </c>
      <c r="C465" s="22">
        <f>SUM(D465,E465)</f>
        <v>777400</v>
      </c>
      <c r="D465" s="48">
        <v>561100</v>
      </c>
      <c r="E465" s="48">
        <v>216300</v>
      </c>
    </row>
    <row r="466" spans="1:5" ht="12.75">
      <c r="A466" s="53" t="s">
        <v>257</v>
      </c>
      <c r="B466" s="19" t="s">
        <v>258</v>
      </c>
      <c r="C466" s="18">
        <f>SUM(D466,E466)</f>
        <v>33000</v>
      </c>
      <c r="D466" s="18">
        <f>SUM(D467)</f>
        <v>0</v>
      </c>
      <c r="E466" s="18">
        <f>SUM(E467)</f>
        <v>33000</v>
      </c>
    </row>
    <row r="467" spans="1:5" ht="12.75">
      <c r="A467" s="35"/>
      <c r="B467" s="19" t="s">
        <v>281</v>
      </c>
      <c r="C467" s="18">
        <f>SUM(D467,E467)</f>
        <v>33000</v>
      </c>
      <c r="D467" s="18">
        <v>0</v>
      </c>
      <c r="E467" s="18">
        <v>33000</v>
      </c>
    </row>
    <row r="468" spans="1:5" ht="12.75">
      <c r="A468" s="35"/>
      <c r="B468" s="19" t="s">
        <v>67</v>
      </c>
      <c r="C468" s="18"/>
      <c r="D468" s="18"/>
      <c r="E468" s="18"/>
    </row>
    <row r="469" spans="1:5" ht="12.75">
      <c r="A469" s="36"/>
      <c r="B469" s="37" t="s">
        <v>35</v>
      </c>
      <c r="C469" s="22">
        <f>SUM(D469,E469)</f>
        <v>22600</v>
      </c>
      <c r="D469" s="22">
        <v>0</v>
      </c>
      <c r="E469" s="48">
        <f>2600+20000</f>
        <v>22600</v>
      </c>
    </row>
    <row r="470" spans="1:5" ht="40.5" customHeight="1">
      <c r="A470" s="23" t="s">
        <v>259</v>
      </c>
      <c r="B470" s="56" t="s">
        <v>260</v>
      </c>
      <c r="C470" s="28">
        <f>SUM(D470,E470)</f>
        <v>18282</v>
      </c>
      <c r="D470" s="28">
        <f>SUM(D471)</f>
        <v>18282</v>
      </c>
      <c r="E470" s="28">
        <f>SUM(E471)</f>
        <v>0</v>
      </c>
    </row>
    <row r="471" spans="1:5" ht="12.75">
      <c r="A471" s="105" t="s">
        <v>261</v>
      </c>
      <c r="B471" s="107" t="s">
        <v>304</v>
      </c>
      <c r="C471" s="113">
        <f>SUM(D471,E471)</f>
        <v>18282</v>
      </c>
      <c r="D471" s="113">
        <f>SUM(D473)</f>
        <v>18282</v>
      </c>
      <c r="E471" s="113">
        <f>SUM(E473)</f>
        <v>0</v>
      </c>
    </row>
    <row r="472" spans="1:5" ht="12.75">
      <c r="A472" s="106"/>
      <c r="B472" s="108"/>
      <c r="C472" s="114"/>
      <c r="D472" s="114"/>
      <c r="E472" s="114"/>
    </row>
    <row r="473" spans="1:5" ht="12.75">
      <c r="A473" s="36"/>
      <c r="B473" s="37" t="s">
        <v>278</v>
      </c>
      <c r="C473" s="22">
        <f>SUM(D473,E473)</f>
        <v>18282</v>
      </c>
      <c r="D473" s="22">
        <v>18282</v>
      </c>
      <c r="E473" s="22">
        <v>0</v>
      </c>
    </row>
    <row r="474" spans="1:5" ht="25.5">
      <c r="A474" s="23" t="s">
        <v>76</v>
      </c>
      <c r="B474" s="56" t="s">
        <v>77</v>
      </c>
      <c r="C474" s="28">
        <f>SUM(D474,E474)</f>
        <v>6771000</v>
      </c>
      <c r="D474" s="28">
        <f>SUM(D475,D480)</f>
        <v>2500</v>
      </c>
      <c r="E474" s="28">
        <f>SUM(E475,E480)</f>
        <v>6768500</v>
      </c>
    </row>
    <row r="475" spans="1:5" ht="12.75">
      <c r="A475" s="53" t="s">
        <v>80</v>
      </c>
      <c r="B475" s="19" t="s">
        <v>262</v>
      </c>
      <c r="C475" s="18">
        <f>SUM(D475,E475)</f>
        <v>6764500</v>
      </c>
      <c r="D475" s="18">
        <f>SUM(D476)</f>
        <v>0</v>
      </c>
      <c r="E475" s="18">
        <f>SUM(E476,E479)</f>
        <v>6764500</v>
      </c>
    </row>
    <row r="476" spans="1:5" ht="12.75">
      <c r="A476" s="35"/>
      <c r="B476" s="19" t="s">
        <v>280</v>
      </c>
      <c r="C476" s="18">
        <f>SUM(D476,E476)</f>
        <v>6064500</v>
      </c>
      <c r="D476" s="18">
        <v>0</v>
      </c>
      <c r="E476" s="18">
        <v>6064500</v>
      </c>
    </row>
    <row r="477" spans="1:5" ht="12.75">
      <c r="A477" s="35"/>
      <c r="B477" s="19" t="s">
        <v>67</v>
      </c>
      <c r="C477" s="18"/>
      <c r="D477" s="18"/>
      <c r="E477" s="18"/>
    </row>
    <row r="478" spans="1:5" ht="12.75">
      <c r="A478" s="35"/>
      <c r="B478" s="19" t="s">
        <v>35</v>
      </c>
      <c r="C478" s="18">
        <f aca="true" t="shared" si="18" ref="C478:C484">SUM(D478,E478)</f>
        <v>4929558</v>
      </c>
      <c r="D478" s="18">
        <v>0</v>
      </c>
      <c r="E478" s="45">
        <f>4921158+8400</f>
        <v>4929558</v>
      </c>
    </row>
    <row r="479" spans="1:6" s="47" customFormat="1" ht="12.75">
      <c r="A479" s="100"/>
      <c r="B479" s="101" t="s">
        <v>26</v>
      </c>
      <c r="C479" s="48">
        <f t="shared" si="18"/>
        <v>700000</v>
      </c>
      <c r="D479" s="48">
        <v>0</v>
      </c>
      <c r="E479" s="48">
        <v>700000</v>
      </c>
      <c r="F479" s="46"/>
    </row>
    <row r="480" spans="1:5" ht="12.75">
      <c r="A480" s="91" t="s">
        <v>85</v>
      </c>
      <c r="B480" s="92" t="s">
        <v>86</v>
      </c>
      <c r="C480" s="45">
        <f t="shared" si="18"/>
        <v>6500</v>
      </c>
      <c r="D480" s="45">
        <f>SUM(D481:D482)</f>
        <v>2500</v>
      </c>
      <c r="E480" s="45">
        <f>SUM(E482)</f>
        <v>4000</v>
      </c>
    </row>
    <row r="481" spans="1:5" ht="12.75">
      <c r="A481" s="91"/>
      <c r="B481" s="92" t="s">
        <v>278</v>
      </c>
      <c r="C481" s="45">
        <f t="shared" si="18"/>
        <v>2500</v>
      </c>
      <c r="D481" s="45">
        <v>2500</v>
      </c>
      <c r="E481" s="45">
        <v>0</v>
      </c>
    </row>
    <row r="482" spans="1:6" s="47" customFormat="1" ht="12.75">
      <c r="A482" s="100"/>
      <c r="B482" s="101" t="s">
        <v>330</v>
      </c>
      <c r="C482" s="48">
        <f t="shared" si="18"/>
        <v>4000</v>
      </c>
      <c r="D482" s="48">
        <v>0</v>
      </c>
      <c r="E482" s="48">
        <v>4000</v>
      </c>
      <c r="F482" s="46"/>
    </row>
    <row r="483" spans="1:5" ht="12.75">
      <c r="A483" s="51" t="s">
        <v>136</v>
      </c>
      <c r="B483" s="52" t="s">
        <v>263</v>
      </c>
      <c r="C483" s="26">
        <f t="shared" si="18"/>
        <v>1774483</v>
      </c>
      <c r="D483" s="26">
        <f>SUM(D484)</f>
        <v>0</v>
      </c>
      <c r="E483" s="26">
        <f>SUM(E484)</f>
        <v>1774483</v>
      </c>
    </row>
    <row r="484" spans="1:5" ht="12.75">
      <c r="A484" s="64">
        <v>85156</v>
      </c>
      <c r="B484" s="111" t="s">
        <v>333</v>
      </c>
      <c r="C484" s="109">
        <f t="shared" si="18"/>
        <v>1774483</v>
      </c>
      <c r="D484" s="109">
        <f>SUM(D487)</f>
        <v>0</v>
      </c>
      <c r="E484" s="109">
        <f>SUM(E487)</f>
        <v>1774483</v>
      </c>
    </row>
    <row r="485" spans="1:5" ht="12.75">
      <c r="A485" s="65"/>
      <c r="B485" s="112"/>
      <c r="C485" s="110"/>
      <c r="D485" s="110"/>
      <c r="E485" s="110"/>
    </row>
    <row r="486" spans="1:5" ht="12.75">
      <c r="A486" s="35"/>
      <c r="B486" s="112"/>
      <c r="C486" s="110"/>
      <c r="D486" s="110"/>
      <c r="E486" s="110"/>
    </row>
    <row r="487" spans="1:5" ht="12.75">
      <c r="A487" s="35"/>
      <c r="B487" s="19" t="s">
        <v>19</v>
      </c>
      <c r="C487" s="18">
        <f>SUM(D487,E487)</f>
        <v>1774483</v>
      </c>
      <c r="D487" s="18">
        <v>0</v>
      </c>
      <c r="E487" s="18">
        <v>1774483</v>
      </c>
    </row>
    <row r="488" spans="1:5" ht="12.75">
      <c r="A488" s="51" t="s">
        <v>149</v>
      </c>
      <c r="B488" s="52" t="s">
        <v>150</v>
      </c>
      <c r="C488" s="26">
        <f>SUM(D488,E488)</f>
        <v>25488500</v>
      </c>
      <c r="D488" s="26">
        <f>SUM(D489,D497,D502,D507,D493)</f>
        <v>25488500</v>
      </c>
      <c r="E488" s="26">
        <f>SUM(E489,E497,E502,E507,E57,E4581,E493)</f>
        <v>0</v>
      </c>
    </row>
    <row r="489" spans="1:5" ht="12.75">
      <c r="A489" s="35" t="s">
        <v>155</v>
      </c>
      <c r="B489" s="19" t="s">
        <v>156</v>
      </c>
      <c r="C489" s="15">
        <f>SUM(D489,E489)</f>
        <v>567900</v>
      </c>
      <c r="D489" s="18">
        <f>SUM(D490)</f>
        <v>567900</v>
      </c>
      <c r="E489" s="18">
        <f>SUM(E490)</f>
        <v>0</v>
      </c>
    </row>
    <row r="490" spans="1:5" ht="12.75">
      <c r="A490" s="35"/>
      <c r="B490" s="19" t="s">
        <v>321</v>
      </c>
      <c r="C490" s="18">
        <f>SUM(D490,E490)</f>
        <v>567900</v>
      </c>
      <c r="D490" s="18">
        <v>567900</v>
      </c>
      <c r="E490" s="18">
        <v>0</v>
      </c>
    </row>
    <row r="491" spans="1:5" ht="12.75">
      <c r="A491" s="35"/>
      <c r="B491" s="19" t="s">
        <v>67</v>
      </c>
      <c r="C491" s="18"/>
      <c r="D491" s="18"/>
      <c r="E491" s="18"/>
    </row>
    <row r="492" spans="1:5" ht="12.75">
      <c r="A492" s="36"/>
      <c r="B492" s="37" t="s">
        <v>35</v>
      </c>
      <c r="C492" s="22">
        <f>SUM(D492,E492)</f>
        <v>379884</v>
      </c>
      <c r="D492" s="48">
        <f>378017+1867</f>
        <v>379884</v>
      </c>
      <c r="E492" s="22">
        <v>0</v>
      </c>
    </row>
    <row r="493" spans="1:5" ht="38.25">
      <c r="A493" s="16" t="s">
        <v>277</v>
      </c>
      <c r="B493" s="50" t="s">
        <v>344</v>
      </c>
      <c r="C493" s="18">
        <f>SUM(D493,E493)</f>
        <v>22068000</v>
      </c>
      <c r="D493" s="18">
        <f>SUM(D494)</f>
        <v>22068000</v>
      </c>
      <c r="E493" s="18">
        <f>SUM(E494)</f>
        <v>0</v>
      </c>
    </row>
    <row r="494" spans="1:5" ht="12.75">
      <c r="A494" s="35"/>
      <c r="B494" s="19" t="s">
        <v>19</v>
      </c>
      <c r="C494" s="18">
        <f>SUM(D494,E494)</f>
        <v>22068000</v>
      </c>
      <c r="D494" s="45">
        <v>22068000</v>
      </c>
      <c r="E494" s="18">
        <v>0</v>
      </c>
    </row>
    <row r="495" spans="1:5" ht="12.75">
      <c r="A495" s="35"/>
      <c r="B495" s="19" t="s">
        <v>67</v>
      </c>
      <c r="C495" s="18"/>
      <c r="D495" s="45"/>
      <c r="E495" s="18"/>
    </row>
    <row r="496" spans="1:5" ht="12.75">
      <c r="A496" s="36"/>
      <c r="B496" s="37" t="s">
        <v>341</v>
      </c>
      <c r="C496" s="22">
        <f>SUM(D496,E496)</f>
        <v>840770</v>
      </c>
      <c r="D496" s="48">
        <v>840770</v>
      </c>
      <c r="E496" s="22">
        <v>0</v>
      </c>
    </row>
    <row r="497" spans="1:5" ht="12.75">
      <c r="A497" s="53" t="s">
        <v>264</v>
      </c>
      <c r="B497" s="55" t="s">
        <v>265</v>
      </c>
      <c r="C497" s="15">
        <f>SUM(D497,E497)</f>
        <v>245800</v>
      </c>
      <c r="D497" s="15">
        <f>SUM(D501)</f>
        <v>245800</v>
      </c>
      <c r="E497" s="15">
        <f>SUM(E501)</f>
        <v>0</v>
      </c>
    </row>
    <row r="498" spans="1:5" ht="12.75">
      <c r="A498" s="35"/>
      <c r="B498" s="19" t="s">
        <v>266</v>
      </c>
      <c r="C498" s="18"/>
      <c r="D498" s="18"/>
      <c r="E498" s="18"/>
    </row>
    <row r="499" spans="1:5" ht="12.75">
      <c r="A499" s="35"/>
      <c r="B499" s="19" t="s">
        <v>267</v>
      </c>
      <c r="C499" s="18"/>
      <c r="D499" s="18"/>
      <c r="E499" s="18"/>
    </row>
    <row r="500" spans="1:5" ht="12.75">
      <c r="A500" s="35"/>
      <c r="B500" s="19" t="s">
        <v>311</v>
      </c>
      <c r="C500" s="18"/>
      <c r="D500" s="18"/>
      <c r="E500" s="18"/>
    </row>
    <row r="501" spans="1:5" ht="12.75">
      <c r="A501" s="36"/>
      <c r="B501" s="37" t="s">
        <v>19</v>
      </c>
      <c r="C501" s="22">
        <f>SUM(D501,E501)</f>
        <v>245800</v>
      </c>
      <c r="D501" s="22">
        <v>245800</v>
      </c>
      <c r="E501" s="22">
        <v>0</v>
      </c>
    </row>
    <row r="502" spans="1:5" ht="12.75">
      <c r="A502" s="35" t="s">
        <v>159</v>
      </c>
      <c r="B502" s="19" t="s">
        <v>268</v>
      </c>
      <c r="C502" s="18">
        <f>SUM(D502,E502)</f>
        <v>2228900</v>
      </c>
      <c r="D502" s="18">
        <f>SUM(D504)</f>
        <v>2228900</v>
      </c>
      <c r="E502" s="18">
        <f>SUM(E504)</f>
        <v>0</v>
      </c>
    </row>
    <row r="503" spans="1:5" ht="12.75">
      <c r="A503" s="35"/>
      <c r="B503" s="19" t="s">
        <v>312</v>
      </c>
      <c r="C503" s="18"/>
      <c r="D503" s="18"/>
      <c r="E503" s="18"/>
    </row>
    <row r="504" spans="1:5" ht="12.75">
      <c r="A504" s="35"/>
      <c r="B504" s="19" t="s">
        <v>280</v>
      </c>
      <c r="C504" s="18">
        <f>SUM(D504,E504)</f>
        <v>2228900</v>
      </c>
      <c r="D504" s="18">
        <v>2228900</v>
      </c>
      <c r="E504" s="18">
        <v>0</v>
      </c>
    </row>
    <row r="505" spans="1:5" ht="12.75">
      <c r="A505" s="35"/>
      <c r="B505" s="19" t="s">
        <v>67</v>
      </c>
      <c r="C505" s="18"/>
      <c r="D505" s="18"/>
      <c r="E505" s="18"/>
    </row>
    <row r="506" spans="1:5" ht="12.75">
      <c r="A506" s="36"/>
      <c r="B506" s="37" t="s">
        <v>35</v>
      </c>
      <c r="C506" s="22">
        <f>SUM(D506,E506)</f>
        <v>3000</v>
      </c>
      <c r="D506" s="48">
        <v>3000</v>
      </c>
      <c r="E506" s="22">
        <v>0</v>
      </c>
    </row>
    <row r="507" spans="1:5" ht="12.75">
      <c r="A507" s="16" t="s">
        <v>170</v>
      </c>
      <c r="B507" s="50" t="s">
        <v>269</v>
      </c>
      <c r="C507" s="30">
        <f>SUM(D507,E507)</f>
        <v>377900</v>
      </c>
      <c r="D507" s="30">
        <f>SUM(D509)</f>
        <v>377900</v>
      </c>
      <c r="E507" s="30">
        <f>SUM(E509)</f>
        <v>0</v>
      </c>
    </row>
    <row r="508" spans="1:5" ht="12.75">
      <c r="A508" s="35"/>
      <c r="B508" s="19" t="s">
        <v>270</v>
      </c>
      <c r="C508" s="18"/>
      <c r="D508" s="18"/>
      <c r="E508" s="18"/>
    </row>
    <row r="509" spans="1:5" ht="12.75">
      <c r="A509" s="36"/>
      <c r="B509" s="37" t="s">
        <v>280</v>
      </c>
      <c r="C509" s="22">
        <f>SUM(D509,E509)</f>
        <v>377900</v>
      </c>
      <c r="D509" s="22">
        <v>377900</v>
      </c>
      <c r="E509" s="22">
        <v>0</v>
      </c>
    </row>
    <row r="510" spans="1:5" ht="27.75" customHeight="1">
      <c r="A510" s="23" t="s">
        <v>173</v>
      </c>
      <c r="B510" s="56" t="s">
        <v>174</v>
      </c>
      <c r="C510" s="28">
        <f>SUM(D510,E510)</f>
        <v>134500</v>
      </c>
      <c r="D510" s="28">
        <f>SUM(D511)</f>
        <v>0</v>
      </c>
      <c r="E510" s="28">
        <f>SUM(E511)</f>
        <v>134500</v>
      </c>
    </row>
    <row r="511" spans="1:5" ht="12.75">
      <c r="A511" s="35" t="s">
        <v>177</v>
      </c>
      <c r="B511" s="19" t="s">
        <v>178</v>
      </c>
      <c r="C511" s="18">
        <f>SUM(D511,E511)</f>
        <v>134500</v>
      </c>
      <c r="D511" s="18">
        <f>SUM(D512)</f>
        <v>0</v>
      </c>
      <c r="E511" s="18">
        <f>SUM(E512)</f>
        <v>134500</v>
      </c>
    </row>
    <row r="512" spans="1:5" ht="12.75">
      <c r="A512" s="35"/>
      <c r="B512" s="19" t="s">
        <v>19</v>
      </c>
      <c r="C512" s="18">
        <f>SUM(D512,E512)</f>
        <v>134500</v>
      </c>
      <c r="D512" s="18">
        <v>0</v>
      </c>
      <c r="E512" s="18">
        <v>134500</v>
      </c>
    </row>
    <row r="513" spans="1:5" ht="12.75">
      <c r="A513" s="35"/>
      <c r="B513" s="19" t="s">
        <v>67</v>
      </c>
      <c r="C513" s="18"/>
      <c r="D513" s="18"/>
      <c r="E513" s="18"/>
    </row>
    <row r="514" spans="1:5" ht="13.5" thickBot="1">
      <c r="A514" s="36"/>
      <c r="B514" s="37" t="s">
        <v>35</v>
      </c>
      <c r="C514" s="22">
        <f aca="true" t="shared" si="19" ref="C514:C522">SUM(D514,E514)</f>
        <v>120984</v>
      </c>
      <c r="D514" s="22">
        <v>0</v>
      </c>
      <c r="E514" s="48">
        <f>72734+48250</f>
        <v>120984</v>
      </c>
    </row>
    <row r="515" spans="1:5" ht="28.5" customHeight="1" thickBot="1" thickTop="1">
      <c r="A515" s="120" t="s">
        <v>271</v>
      </c>
      <c r="B515" s="121"/>
      <c r="C515" s="49">
        <f t="shared" si="19"/>
        <v>16000</v>
      </c>
      <c r="D515" s="49">
        <f>SUM(D516,)</f>
        <v>0</v>
      </c>
      <c r="E515" s="49">
        <f>SUM(E516)</f>
        <v>16000</v>
      </c>
    </row>
    <row r="516" spans="1:5" ht="13.5" thickTop="1">
      <c r="A516" s="51" t="s">
        <v>63</v>
      </c>
      <c r="B516" s="57" t="s">
        <v>64</v>
      </c>
      <c r="C516" s="25">
        <f t="shared" si="19"/>
        <v>16000</v>
      </c>
      <c r="D516" s="25">
        <f>SUM(D517)</f>
        <v>0</v>
      </c>
      <c r="E516" s="25">
        <f>SUM(E517)</f>
        <v>16000</v>
      </c>
    </row>
    <row r="517" spans="1:5" ht="12.75">
      <c r="A517" s="35" t="s">
        <v>257</v>
      </c>
      <c r="B517" s="19" t="s">
        <v>258</v>
      </c>
      <c r="C517" s="18">
        <f t="shared" si="19"/>
        <v>16000</v>
      </c>
      <c r="D517" s="18">
        <f>SUM(D518)</f>
        <v>0</v>
      </c>
      <c r="E517" s="18">
        <f>SUM(E518)</f>
        <v>16000</v>
      </c>
    </row>
    <row r="518" spans="1:5" ht="13.5" thickBot="1">
      <c r="A518" s="36"/>
      <c r="B518" s="37" t="s">
        <v>321</v>
      </c>
      <c r="C518" s="22">
        <f t="shared" si="19"/>
        <v>16000</v>
      </c>
      <c r="D518" s="22">
        <v>0</v>
      </c>
      <c r="E518" s="22">
        <v>16000</v>
      </c>
    </row>
    <row r="519" spans="1:5" ht="41.25" customHeight="1" thickBot="1" thickTop="1">
      <c r="A519" s="119" t="s">
        <v>272</v>
      </c>
      <c r="B519" s="119"/>
      <c r="C519" s="49">
        <f t="shared" si="19"/>
        <v>1626099</v>
      </c>
      <c r="D519" s="49">
        <f>SUM(D535)</f>
        <v>0</v>
      </c>
      <c r="E519" s="49">
        <f>SUM(E535,E544,E520,E525,E528)</f>
        <v>1626099</v>
      </c>
    </row>
    <row r="520" spans="1:5" ht="14.25" customHeight="1" thickTop="1">
      <c r="A520" s="71">
        <v>750</v>
      </c>
      <c r="B520" s="72" t="s">
        <v>64</v>
      </c>
      <c r="C520" s="25">
        <f t="shared" si="19"/>
        <v>51750</v>
      </c>
      <c r="D520" s="73">
        <f>SUM(D521)</f>
        <v>0</v>
      </c>
      <c r="E520" s="73">
        <f>SUM(E521)</f>
        <v>51750</v>
      </c>
    </row>
    <row r="521" spans="1:5" ht="14.25" customHeight="1">
      <c r="A521" s="74">
        <v>75020</v>
      </c>
      <c r="B521" s="14" t="s">
        <v>69</v>
      </c>
      <c r="C521" s="18">
        <f t="shared" si="19"/>
        <v>51750</v>
      </c>
      <c r="D521" s="75">
        <v>0</v>
      </c>
      <c r="E521" s="75">
        <f>SUM(E522)</f>
        <v>51750</v>
      </c>
    </row>
    <row r="522" spans="1:5" ht="14.25" customHeight="1">
      <c r="A522" s="70"/>
      <c r="B522" s="17" t="s">
        <v>19</v>
      </c>
      <c r="C522" s="18">
        <f t="shared" si="19"/>
        <v>51750</v>
      </c>
      <c r="D522" s="38">
        <v>0</v>
      </c>
      <c r="E522" s="38">
        <v>51750</v>
      </c>
    </row>
    <row r="523" spans="1:5" ht="14.25" customHeight="1">
      <c r="A523" s="70"/>
      <c r="B523" s="17" t="s">
        <v>11</v>
      </c>
      <c r="C523" s="18"/>
      <c r="D523" s="38"/>
      <c r="E523" s="38"/>
    </row>
    <row r="524" spans="1:5" ht="14.25" customHeight="1">
      <c r="A524" s="76"/>
      <c r="B524" s="21" t="s">
        <v>124</v>
      </c>
      <c r="C524" s="22">
        <f>SUM(D524,E524)</f>
        <v>5600</v>
      </c>
      <c r="D524" s="77">
        <v>0</v>
      </c>
      <c r="E524" s="77">
        <v>5600</v>
      </c>
    </row>
    <row r="525" spans="1:5" ht="14.25" customHeight="1">
      <c r="A525" s="78">
        <v>803</v>
      </c>
      <c r="B525" s="59" t="s">
        <v>299</v>
      </c>
      <c r="C525" s="79">
        <f>SUM(C526)</f>
        <v>67200</v>
      </c>
      <c r="D525" s="79">
        <f>SUM(D526)</f>
        <v>0</v>
      </c>
      <c r="E525" s="79">
        <f>SUM(E526)</f>
        <v>67200</v>
      </c>
    </row>
    <row r="526" spans="1:5" ht="14.25" customHeight="1">
      <c r="A526" s="70">
        <v>80309</v>
      </c>
      <c r="B526" s="17" t="s">
        <v>300</v>
      </c>
      <c r="C526" s="30">
        <f>SUM(D526,E526)</f>
        <v>67200</v>
      </c>
      <c r="D526" s="38">
        <v>0</v>
      </c>
      <c r="E526" s="38">
        <f>SUM(E527)</f>
        <v>67200</v>
      </c>
    </row>
    <row r="527" spans="1:5" ht="14.25" customHeight="1">
      <c r="A527" s="76"/>
      <c r="B527" s="21" t="s">
        <v>19</v>
      </c>
      <c r="C527" s="22">
        <f>SUM(D527,E527)</f>
        <v>67200</v>
      </c>
      <c r="D527" s="77">
        <v>0</v>
      </c>
      <c r="E527" s="77">
        <v>67200</v>
      </c>
    </row>
    <row r="528" spans="1:5" ht="14.25" customHeight="1">
      <c r="A528" s="78">
        <v>852</v>
      </c>
      <c r="B528" s="59" t="s">
        <v>150</v>
      </c>
      <c r="C528" s="79">
        <f>SUM(C529,C533)</f>
        <v>223505</v>
      </c>
      <c r="D528" s="79">
        <f>SUM(D529)</f>
        <v>0</v>
      </c>
      <c r="E528" s="79">
        <f>SUM(E529,E533)</f>
        <v>223505</v>
      </c>
    </row>
    <row r="529" spans="1:5" ht="14.25" customHeight="1">
      <c r="A529" s="70">
        <v>85201</v>
      </c>
      <c r="B529" s="17" t="s">
        <v>301</v>
      </c>
      <c r="C529" s="30">
        <f>SUM(D529,E529)</f>
        <v>187410</v>
      </c>
      <c r="D529" s="38">
        <v>0</v>
      </c>
      <c r="E529" s="38">
        <f>SUM(E530)</f>
        <v>187410</v>
      </c>
    </row>
    <row r="530" spans="1:5" ht="14.25" customHeight="1">
      <c r="A530" s="70"/>
      <c r="B530" s="17" t="s">
        <v>332</v>
      </c>
      <c r="C530" s="18">
        <f>SUM(D530,E530)</f>
        <v>187410</v>
      </c>
      <c r="D530" s="38">
        <v>0</v>
      </c>
      <c r="E530" s="38">
        <v>187410</v>
      </c>
    </row>
    <row r="531" spans="1:5" ht="14.25" customHeight="1">
      <c r="A531" s="70"/>
      <c r="B531" s="17" t="s">
        <v>11</v>
      </c>
      <c r="C531" s="18"/>
      <c r="D531" s="38"/>
      <c r="E531" s="38"/>
    </row>
    <row r="532" spans="1:5" ht="14.25" customHeight="1">
      <c r="A532" s="76"/>
      <c r="B532" s="21" t="s">
        <v>124</v>
      </c>
      <c r="C532" s="22">
        <f aca="true" t="shared" si="20" ref="C532:C537">SUM(D532,E532)</f>
        <v>187410</v>
      </c>
      <c r="D532" s="77">
        <v>0</v>
      </c>
      <c r="E532" s="77">
        <v>187410</v>
      </c>
    </row>
    <row r="533" spans="1:5" ht="14.25" customHeight="1">
      <c r="A533" s="70">
        <v>85204</v>
      </c>
      <c r="B533" s="17" t="s">
        <v>302</v>
      </c>
      <c r="C533" s="30">
        <f t="shared" si="20"/>
        <v>36095</v>
      </c>
      <c r="D533" s="38">
        <v>0</v>
      </c>
      <c r="E533" s="38">
        <f>SUM(E534)</f>
        <v>36095</v>
      </c>
    </row>
    <row r="534" spans="1:5" ht="14.25" customHeight="1">
      <c r="A534" s="70"/>
      <c r="B534" s="17" t="s">
        <v>280</v>
      </c>
      <c r="C534" s="22">
        <f t="shared" si="20"/>
        <v>36095</v>
      </c>
      <c r="D534" s="38">
        <v>0</v>
      </c>
      <c r="E534" s="38">
        <v>36095</v>
      </c>
    </row>
    <row r="535" spans="1:5" ht="27" customHeight="1">
      <c r="A535" s="23" t="s">
        <v>173</v>
      </c>
      <c r="B535" s="56" t="s">
        <v>174</v>
      </c>
      <c r="C535" s="28">
        <f t="shared" si="20"/>
        <v>760519</v>
      </c>
      <c r="D535" s="28">
        <f>SUM(D536)</f>
        <v>0</v>
      </c>
      <c r="E535" s="28">
        <f>SUM(E536,E540)</f>
        <v>760519</v>
      </c>
    </row>
    <row r="536" spans="1:5" ht="12.75">
      <c r="A536" s="35" t="s">
        <v>177</v>
      </c>
      <c r="B536" s="19" t="s">
        <v>273</v>
      </c>
      <c r="C536" s="18">
        <f t="shared" si="20"/>
        <v>98800</v>
      </c>
      <c r="D536" s="18">
        <f>SUM(D537)</f>
        <v>0</v>
      </c>
      <c r="E536" s="18">
        <f>SUM(E537)</f>
        <v>98800</v>
      </c>
    </row>
    <row r="537" spans="1:5" ht="12.75">
      <c r="A537" s="35"/>
      <c r="B537" s="19" t="s">
        <v>19</v>
      </c>
      <c r="C537" s="18">
        <f t="shared" si="20"/>
        <v>98800</v>
      </c>
      <c r="D537" s="18">
        <v>0</v>
      </c>
      <c r="E537" s="45">
        <v>98800</v>
      </c>
    </row>
    <row r="538" spans="1:5" ht="12.75">
      <c r="A538" s="35"/>
      <c r="B538" s="19" t="s">
        <v>67</v>
      </c>
      <c r="C538" s="18"/>
      <c r="D538" s="18"/>
      <c r="E538" s="18"/>
    </row>
    <row r="539" spans="1:5" ht="12.75">
      <c r="A539" s="36"/>
      <c r="B539" s="37" t="s">
        <v>35</v>
      </c>
      <c r="C539" s="22">
        <f>SUM(D539,E539)</f>
        <v>90772</v>
      </c>
      <c r="D539" s="22">
        <v>0</v>
      </c>
      <c r="E539" s="48">
        <v>90772</v>
      </c>
    </row>
    <row r="540" spans="1:5" ht="12.75">
      <c r="A540" s="53" t="s">
        <v>179</v>
      </c>
      <c r="B540" s="55" t="s">
        <v>180</v>
      </c>
      <c r="C540" s="18">
        <f>SUM(D540,E540)</f>
        <v>661719</v>
      </c>
      <c r="D540" s="15">
        <v>0</v>
      </c>
      <c r="E540" s="15">
        <f>SUM(E541)</f>
        <v>661719</v>
      </c>
    </row>
    <row r="541" spans="1:5" ht="12.75">
      <c r="A541" s="35"/>
      <c r="B541" s="19" t="s">
        <v>19</v>
      </c>
      <c r="C541" s="18">
        <f>SUM(D541,E541)</f>
        <v>661719</v>
      </c>
      <c r="D541" s="18">
        <v>0</v>
      </c>
      <c r="E541" s="45">
        <f>778600-116881</f>
        <v>661719</v>
      </c>
    </row>
    <row r="542" spans="1:5" ht="12.75">
      <c r="A542" s="35"/>
      <c r="B542" s="19" t="s">
        <v>11</v>
      </c>
      <c r="C542" s="18"/>
      <c r="D542" s="18"/>
      <c r="E542" s="45"/>
    </row>
    <row r="543" spans="1:5" ht="12.75">
      <c r="A543" s="36"/>
      <c r="B543" s="37" t="s">
        <v>124</v>
      </c>
      <c r="C543" s="22">
        <f>SUM(D543,E543)</f>
        <v>531924</v>
      </c>
      <c r="D543" s="22">
        <v>0</v>
      </c>
      <c r="E543" s="48">
        <v>531924</v>
      </c>
    </row>
    <row r="544" spans="1:5" ht="12.75">
      <c r="A544" s="51" t="s">
        <v>183</v>
      </c>
      <c r="B544" s="52" t="s">
        <v>184</v>
      </c>
      <c r="C544" s="26">
        <f>SUM(D544,E544)</f>
        <v>523125</v>
      </c>
      <c r="D544" s="26">
        <f>SUM(D546)</f>
        <v>0</v>
      </c>
      <c r="E544" s="26">
        <f>SUM(E546,E550)</f>
        <v>523125</v>
      </c>
    </row>
    <row r="545" spans="1:5" ht="12.75">
      <c r="A545" s="35" t="s">
        <v>189</v>
      </c>
      <c r="B545" s="19" t="s">
        <v>190</v>
      </c>
      <c r="C545" s="18"/>
      <c r="D545" s="18"/>
      <c r="E545" s="18"/>
    </row>
    <row r="546" spans="1:5" ht="12.75">
      <c r="A546" s="35"/>
      <c r="B546" s="19" t="s">
        <v>191</v>
      </c>
      <c r="C546" s="18">
        <f>SUM(D546,E546)</f>
        <v>230000</v>
      </c>
      <c r="D546" s="18">
        <f>SUM(D547)</f>
        <v>0</v>
      </c>
      <c r="E546" s="18">
        <f>SUM(E547)</f>
        <v>230000</v>
      </c>
    </row>
    <row r="547" spans="1:5" ht="12.75">
      <c r="A547" s="35"/>
      <c r="B547" s="19" t="s">
        <v>303</v>
      </c>
      <c r="C547" s="18">
        <f>SUM(D547,E547)</f>
        <v>230000</v>
      </c>
      <c r="D547" s="18">
        <v>0</v>
      </c>
      <c r="E547" s="45">
        <v>230000</v>
      </c>
    </row>
    <row r="548" spans="1:5" ht="12.75">
      <c r="A548" s="35"/>
      <c r="B548" s="19" t="s">
        <v>11</v>
      </c>
      <c r="C548" s="18"/>
      <c r="D548" s="18"/>
      <c r="E548" s="18"/>
    </row>
    <row r="549" spans="1:5" ht="12.75">
      <c r="A549" s="35"/>
      <c r="B549" s="19" t="s">
        <v>124</v>
      </c>
      <c r="C549" s="18">
        <f>SUM(D549,E549)</f>
        <v>230000</v>
      </c>
      <c r="D549" s="18">
        <v>0</v>
      </c>
      <c r="E549" s="45">
        <v>230000</v>
      </c>
    </row>
    <row r="550" spans="1:5" ht="12.75">
      <c r="A550" s="53" t="s">
        <v>197</v>
      </c>
      <c r="B550" s="55" t="s">
        <v>198</v>
      </c>
      <c r="C550" s="31">
        <f>SUM(D550,E550)</f>
        <v>293125</v>
      </c>
      <c r="D550" s="15">
        <v>0</v>
      </c>
      <c r="E550" s="15">
        <f>SUM(E551)</f>
        <v>293125</v>
      </c>
    </row>
    <row r="551" spans="1:5" ht="12.75">
      <c r="A551" s="36"/>
      <c r="B551" s="37" t="s">
        <v>331</v>
      </c>
      <c r="C551" s="22">
        <f>SUM(D551,E551)</f>
        <v>293125</v>
      </c>
      <c r="D551" s="22">
        <v>0</v>
      </c>
      <c r="E551" s="48">
        <v>293125</v>
      </c>
    </row>
    <row r="552" spans="1:5" ht="12.75">
      <c r="A552" s="117" t="s">
        <v>274</v>
      </c>
      <c r="B552" s="118"/>
      <c r="C552" s="28">
        <f>SUM(D552,E552)</f>
        <v>325309584</v>
      </c>
      <c r="D552" s="28">
        <f>SUM(D519,D515,D448,D8)</f>
        <v>220209397</v>
      </c>
      <c r="E552" s="28">
        <f>SUM(E519,E515,E448,E8)</f>
        <v>105100187</v>
      </c>
    </row>
    <row r="554" spans="1:5" ht="28.5" customHeight="1">
      <c r="A554" s="115"/>
      <c r="B554" s="116"/>
      <c r="C554" s="116"/>
      <c r="D554" s="116"/>
      <c r="E554" s="116"/>
    </row>
  </sheetData>
  <mergeCells count="20">
    <mergeCell ref="D1:E1"/>
    <mergeCell ref="A448:B448"/>
    <mergeCell ref="A8:B8"/>
    <mergeCell ref="A4:A5"/>
    <mergeCell ref="B4:B5"/>
    <mergeCell ref="C4:E4"/>
    <mergeCell ref="A2:E2"/>
    <mergeCell ref="A554:E554"/>
    <mergeCell ref="E484:E486"/>
    <mergeCell ref="C471:C472"/>
    <mergeCell ref="A552:B552"/>
    <mergeCell ref="E471:E472"/>
    <mergeCell ref="A519:B519"/>
    <mergeCell ref="A515:B515"/>
    <mergeCell ref="A471:A472"/>
    <mergeCell ref="B471:B472"/>
    <mergeCell ref="D484:D486"/>
    <mergeCell ref="B484:B486"/>
    <mergeCell ref="C484:C486"/>
    <mergeCell ref="D471:D472"/>
  </mergeCells>
  <printOptions horizontalCentered="1" verticalCentered="1"/>
  <pageMargins left="0.46" right="0.44" top="0.6692913385826772" bottom="0.5905511811023623" header="0.5118110236220472" footer="0.5118110236220472"/>
  <pageSetup firstPageNumber="24" useFirstPageNumber="1" horizontalDpi="300" verticalDpi="300" orientation="portrait" paperSize="9" r:id="rId1"/>
  <headerFooter alignWithMargins="0">
    <oddFooter>&amp;R&amp;P</oddFooter>
  </headerFooter>
  <rowBreaks count="9" manualBreakCount="9">
    <brk id="51" max="4" man="1"/>
    <brk id="100" max="4" man="1"/>
    <brk id="144" max="4" man="1"/>
    <brk id="199" max="4" man="1"/>
    <brk id="250" max="4" man="1"/>
    <brk id="353" max="4" man="1"/>
    <brk id="406" max="4" man="1"/>
    <brk id="456" max="4" man="1"/>
    <brk id="50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Mariola Matusiak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Urząd Miejski w Kaliszu</cp:lastModifiedBy>
  <cp:lastPrinted>2006-01-09T14:30:53Z</cp:lastPrinted>
  <dcterms:created xsi:type="dcterms:W3CDTF">2004-09-20T09:27:01Z</dcterms:created>
  <dcterms:modified xsi:type="dcterms:W3CDTF">2006-01-10T13:46:44Z</dcterms:modified>
  <cp:category/>
  <cp:version/>
  <cp:contentType/>
  <cp:contentStatus/>
</cp:coreProperties>
</file>