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2.11.2009" sheetId="1" r:id="rId1"/>
  </sheets>
  <definedNames>
    <definedName name="_xlnm.Print_Area" localSheetId="0">'12.11.2009'!$A$1:$E$572</definedName>
    <definedName name="_xlnm.Print_Titles" localSheetId="0">'12.11.2009'!$4:$6</definedName>
  </definedNames>
  <calcPr fullCalcOnLoad="1"/>
</workbook>
</file>

<file path=xl/sharedStrings.xml><?xml version="1.0" encoding="utf-8"?>
<sst xmlns="http://schemas.openxmlformats.org/spreadsheetml/2006/main" count="744" uniqueCount="337">
  <si>
    <t>Dział/ rozdz.</t>
  </si>
  <si>
    <t>Treść</t>
  </si>
  <si>
    <t xml:space="preserve">ZADANIA WŁASNE </t>
  </si>
  <si>
    <t>010</t>
  </si>
  <si>
    <t>Rolnictwo i łowiectwo</t>
  </si>
  <si>
    <t>01030</t>
  </si>
  <si>
    <t>Izby rolnicze</t>
  </si>
  <si>
    <t xml:space="preserve">     w tym:</t>
  </si>
  <si>
    <t xml:space="preserve">     dotacje</t>
  </si>
  <si>
    <t>01095</t>
  </si>
  <si>
    <t>Pozostała działalność</t>
  </si>
  <si>
    <t>020</t>
  </si>
  <si>
    <t>Leśnictwo</t>
  </si>
  <si>
    <t>02001</t>
  </si>
  <si>
    <t>Gospodarka leśna</t>
  </si>
  <si>
    <t xml:space="preserve">   wydatki bieżące</t>
  </si>
  <si>
    <t>02002</t>
  </si>
  <si>
    <t>Nadzór nad gospodarką leśną</t>
  </si>
  <si>
    <t>400</t>
  </si>
  <si>
    <t>Wytwarzanie i zaopatrywanie w energię elektryczną, gaz i wodę</t>
  </si>
  <si>
    <t>40001</t>
  </si>
  <si>
    <t>Dostarczanie ciepła</t>
  </si>
  <si>
    <t xml:space="preserve">   wydatki majątkowe</t>
  </si>
  <si>
    <t>600</t>
  </si>
  <si>
    <t>Transport i łączność</t>
  </si>
  <si>
    <t>60004</t>
  </si>
  <si>
    <t>Lokalny transport zbiorowy</t>
  </si>
  <si>
    <t>60015</t>
  </si>
  <si>
    <t>Drogi publiczne w miastach na prawach powiatu</t>
  </si>
  <si>
    <t xml:space="preserve">   wydatki bieżące </t>
  </si>
  <si>
    <t xml:space="preserve">       w tym:</t>
  </si>
  <si>
    <t xml:space="preserve">      wynagr. i pochodne od wynagr.</t>
  </si>
  <si>
    <t>60016</t>
  </si>
  <si>
    <t>Drogi publiczne gminne</t>
  </si>
  <si>
    <t xml:space="preserve">   wydatki majatkowe</t>
  </si>
  <si>
    <t>630</t>
  </si>
  <si>
    <t>Turystyka</t>
  </si>
  <si>
    <t>63003</t>
  </si>
  <si>
    <t>Zadania w zakresie upowszechniania turystyki</t>
  </si>
  <si>
    <t>63095</t>
  </si>
  <si>
    <t>700</t>
  </si>
  <si>
    <t>Gospodarka mieszkaniowa</t>
  </si>
  <si>
    <t>70005</t>
  </si>
  <si>
    <t>70021</t>
  </si>
  <si>
    <t>Towarzystwa budownictwa społecznego</t>
  </si>
  <si>
    <t>70095</t>
  </si>
  <si>
    <t>710</t>
  </si>
  <si>
    <t>Działalność usługowa</t>
  </si>
  <si>
    <t>71004</t>
  </si>
  <si>
    <t>Plany zagospodarowania przestrzennego</t>
  </si>
  <si>
    <t>71013</t>
  </si>
  <si>
    <t>Prace geodezyjne i kartograficzne /nieinwestycyjne/</t>
  </si>
  <si>
    <t>71014</t>
  </si>
  <si>
    <t>Opracowania geodezyjne i kartograficzne</t>
  </si>
  <si>
    <t>71015</t>
  </si>
  <si>
    <t>71035</t>
  </si>
  <si>
    <t>Cmentarze</t>
  </si>
  <si>
    <t>750</t>
  </si>
  <si>
    <t>Administracja publiczna</t>
  </si>
  <si>
    <t>75011</t>
  </si>
  <si>
    <t>Urzędy wojewódzkie</t>
  </si>
  <si>
    <t xml:space="preserve">      w tym:</t>
  </si>
  <si>
    <t>75020</t>
  </si>
  <si>
    <t>Starostwa powiatowe</t>
  </si>
  <si>
    <t>75022</t>
  </si>
  <si>
    <t>Rady gmin /miast i miast na prawach powiatu/</t>
  </si>
  <si>
    <t>75023</t>
  </si>
  <si>
    <t>Urzędy gmin /miast i miast na prawach powiatu/</t>
  </si>
  <si>
    <t>75095</t>
  </si>
  <si>
    <t>754</t>
  </si>
  <si>
    <t>Bezpieczeństwo publiczne i ochrona przeciwpożarowa</t>
  </si>
  <si>
    <t>75405</t>
  </si>
  <si>
    <t>Komendy powiatowe Policji</t>
  </si>
  <si>
    <t>75411</t>
  </si>
  <si>
    <t>75412</t>
  </si>
  <si>
    <t>Ochotnicze straże pożarne</t>
  </si>
  <si>
    <t>75414</t>
  </si>
  <si>
    <t>Obrona cywilna</t>
  </si>
  <si>
    <t>75415</t>
  </si>
  <si>
    <t>Zadania ratownictwa górskiego i wodnego</t>
  </si>
  <si>
    <t>75416</t>
  </si>
  <si>
    <t>Straż Miejska</t>
  </si>
  <si>
    <t>75495</t>
  </si>
  <si>
    <t>756</t>
  </si>
  <si>
    <t>75647</t>
  </si>
  <si>
    <t>Pobór podatków, opłat i niepodatkowych należności budżetowych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</si>
  <si>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</si>
  <si>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</si>
  <si>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</si>
  <si>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</si>
  <si>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</si>
  <si>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</si>
  <si>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</si>
  <si>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</si>
  <si>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Oświata i wychowanie</t>
  </si>
  <si>
    <t>80101</t>
  </si>
  <si>
    <t>Szkoły podstawowe</t>
  </si>
  <si>
    <t>80102</t>
  </si>
  <si>
    <t>Szkoły podstawowe specjalne</t>
  </si>
  <si>
    <t>80104</t>
  </si>
  <si>
    <t>Przedszkola</t>
  </si>
  <si>
    <t>80110</t>
  </si>
  <si>
    <t>Gimnazja</t>
  </si>
  <si>
    <t>80111</t>
  </si>
  <si>
    <t>80113</t>
  </si>
  <si>
    <t>Dowożenie uczniów do szkół</t>
  </si>
  <si>
    <t>80120</t>
  </si>
  <si>
    <t>Licea ogólnokształcące</t>
  </si>
  <si>
    <t>80123</t>
  </si>
  <si>
    <t xml:space="preserve">Licea profilowane </t>
  </si>
  <si>
    <t xml:space="preserve">     wynagr. i pochodne od wynagr.</t>
  </si>
  <si>
    <t>80130</t>
  </si>
  <si>
    <t>Szkoły zawodowe</t>
  </si>
  <si>
    <t>80132</t>
  </si>
  <si>
    <t>Szkoły artystyczne</t>
  </si>
  <si>
    <t>80134</t>
  </si>
  <si>
    <t>Szkoły zawodowe specjalne</t>
  </si>
  <si>
    <t>80140</t>
  </si>
  <si>
    <t>Centra kształcenia ustawicznego i praktycznego oraz ośrodki dokształcania zawodowego</t>
  </si>
  <si>
    <t>80146</t>
  </si>
  <si>
    <t xml:space="preserve">Dokształcanie i doskonalenie nauczycieli </t>
  </si>
  <si>
    <t>80195</t>
  </si>
  <si>
    <t>851</t>
  </si>
  <si>
    <t>Ochrona zdrowia</t>
  </si>
  <si>
    <t>85149</t>
  </si>
  <si>
    <t>Programy polityki zdrowotnej</t>
  </si>
  <si>
    <t>85152</t>
  </si>
  <si>
    <t>Zapobieganie i zwalczanie AIDS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</si>
  <si>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</si>
  <si>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</si>
  <si>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</si>
  <si>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</si>
  <si>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</si>
  <si>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</si>
  <si>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</si>
  <si>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85201</t>
  </si>
  <si>
    <t>Placówki opiekuńczo - wychowawcze</t>
  </si>
  <si>
    <t>85202</t>
  </si>
  <si>
    <t>Domy pomocy społecznej</t>
  </si>
  <si>
    <t>85203</t>
  </si>
  <si>
    <t>Ośrodki wsparcia</t>
  </si>
  <si>
    <t>85204</t>
  </si>
  <si>
    <t xml:space="preserve">Rodziny zastępcze </t>
  </si>
  <si>
    <t>85214</t>
  </si>
  <si>
    <t>85215</t>
  </si>
  <si>
    <t xml:space="preserve">Dodatki mieszkaniowe </t>
  </si>
  <si>
    <t>85218</t>
  </si>
  <si>
    <t>Powiatowe centra pomocy rodzinie</t>
  </si>
  <si>
    <t>85219</t>
  </si>
  <si>
    <t>Ośrodki pomocy społecznej</t>
  </si>
  <si>
    <t>85220</t>
  </si>
  <si>
    <t>Jedn. specjalistycznego poradnictwa, mieszkania chronione i ośrodki interwencji kryzysowej</t>
  </si>
  <si>
    <t>85226</t>
  </si>
  <si>
    <t>Ośrodki adopcyjno-opiekuńcze</t>
  </si>
  <si>
    <t>85228</t>
  </si>
  <si>
    <t>Usługi opiekuńcze i specjalistyczne usługi opiekuńcze</t>
  </si>
  <si>
    <t>85295</t>
  </si>
  <si>
    <t>853</t>
  </si>
  <si>
    <t>Pozostałe zadania w zakresie polityki społecznej</t>
  </si>
  <si>
    <t>85305</t>
  </si>
  <si>
    <t>Żłobki</t>
  </si>
  <si>
    <t>85321</t>
  </si>
  <si>
    <t>Zespoły ds.orzekania o niepełnosprawności</t>
  </si>
  <si>
    <t>85333</t>
  </si>
  <si>
    <t>Powiatowe urzędy pracy</t>
  </si>
  <si>
    <t>Dokształcanie i doskonalenie nauczycieli</t>
  </si>
  <si>
    <t>85395</t>
  </si>
  <si>
    <t>854</t>
  </si>
  <si>
    <t>Edukacyjna opieka wychowawcza</t>
  </si>
  <si>
    <t>85401</t>
  </si>
  <si>
    <t>Świetlice szkolne</t>
  </si>
  <si>
    <t>85403</t>
  </si>
  <si>
    <t>Specjalne ośrodki szkolno-wychowawcze</t>
  </si>
  <si>
    <t>85406</t>
  </si>
  <si>
    <t>85407</t>
  </si>
  <si>
    <t>85410</t>
  </si>
  <si>
    <t>Internaty i bursy szkolne</t>
  </si>
  <si>
    <t>85412</t>
  </si>
  <si>
    <t>Kolonie i obozy oraz inne formy wypoczynku dzieci i młodzieży szkolnej, a także szkolenia młodzieży</t>
  </si>
  <si>
    <t>85415</t>
  </si>
  <si>
    <t>Pomoc materialna dla uczniów</t>
  </si>
  <si>
    <t>85417</t>
  </si>
  <si>
    <t>Szkolne schroniska młodzieżowe</t>
  </si>
  <si>
    <t>85446</t>
  </si>
  <si>
    <t>85495</t>
  </si>
  <si>
    <t>900</t>
  </si>
  <si>
    <t>Gospodarka komunalna i ochrona środowiska</t>
  </si>
  <si>
    <t>90001</t>
  </si>
  <si>
    <t>Gospodarka ściekowa i ochrona wód</t>
  </si>
  <si>
    <t>90002</t>
  </si>
  <si>
    <t>Gospodarka odpadami</t>
  </si>
  <si>
    <t>90003</t>
  </si>
  <si>
    <t>Oczyszczanie miast i wsi</t>
  </si>
  <si>
    <t>90004</t>
  </si>
  <si>
    <t>Utrzymanie zieleni w miastach i gminach</t>
  </si>
  <si>
    <t>90013</t>
  </si>
  <si>
    <t>Schroniska dla zwierząt</t>
  </si>
  <si>
    <t>90015</t>
  </si>
  <si>
    <t>Oświetlenie ulic, placów i dróg</t>
  </si>
  <si>
    <t>90020</t>
  </si>
  <si>
    <t>Wpływy i wydatki związane z gromadzeniem środków z opłat produktowych</t>
  </si>
  <si>
    <t>90095</t>
  </si>
  <si>
    <t>921</t>
  </si>
  <si>
    <t>Kultura i ochrona dziedzictwa narodowego</t>
  </si>
  <si>
    <t>92105</t>
  </si>
  <si>
    <t>Pozostałe zadania w zakresie kultury</t>
  </si>
  <si>
    <t>92106</t>
  </si>
  <si>
    <t>92108</t>
  </si>
  <si>
    <t>Filharmonie, orkiestry, chóry i kapele</t>
  </si>
  <si>
    <t>92109</t>
  </si>
  <si>
    <t>Domy i ośrodki kultury, świetlice i kluby</t>
  </si>
  <si>
    <t>92110</t>
  </si>
  <si>
    <t>Galerie i biura wystaw artystycznych</t>
  </si>
  <si>
    <t>92113</t>
  </si>
  <si>
    <t>Centra kultury i sztuki</t>
  </si>
  <si>
    <t>92116</t>
  </si>
  <si>
    <t>Biblioteki</t>
  </si>
  <si>
    <t>92118</t>
  </si>
  <si>
    <t>Muzea</t>
  </si>
  <si>
    <t>92120</t>
  </si>
  <si>
    <t>92122</t>
  </si>
  <si>
    <t>Rada Ochrony Pamięci Walk i Męczeństwa</t>
  </si>
  <si>
    <t>92195</t>
  </si>
  <si>
    <t>925</t>
  </si>
  <si>
    <t xml:space="preserve">Ogrody botaniczne i zoologiczne oraz naturalne obszary i obiekty chronionej przyrody </t>
  </si>
  <si>
    <t>92503</t>
  </si>
  <si>
    <t>Rezerwaty i pomniki przyrody</t>
  </si>
  <si>
    <t>926</t>
  </si>
  <si>
    <t>Kultura fizyczna i sport</t>
  </si>
  <si>
    <t>92601</t>
  </si>
  <si>
    <t>Obiekty sportowe</t>
  </si>
  <si>
    <t>92604</t>
  </si>
  <si>
    <t>Instytucje kultury fizycznej</t>
  </si>
  <si>
    <t>92605</t>
  </si>
  <si>
    <t>92695</t>
  </si>
  <si>
    <t>Gospodarka gruntami i nieruchomościami</t>
  </si>
  <si>
    <t xml:space="preserve">Nadzór budowlany </t>
  </si>
  <si>
    <t>75045</t>
  </si>
  <si>
    <t>751</t>
  </si>
  <si>
    <t>Urzędy naczelnych ogranów władzy państwowej, kontroli i ochrony prawa oraz sądownictwa</t>
  </si>
  <si>
    <t>75101</t>
  </si>
  <si>
    <t xml:space="preserve">Ochrona zdrowia </t>
  </si>
  <si>
    <t>85213</t>
  </si>
  <si>
    <t>ZADANIA REALIZOWANE NA PODSTAWIE POROZUMIEŃ Z JEDNOSTKAMI SAMORZĄDU TERYTORIALNEGO</t>
  </si>
  <si>
    <t>Zespoły ds. orzekania o niepełnosprawności</t>
  </si>
  <si>
    <t>WYDATKI OGÓŁEM</t>
  </si>
  <si>
    <t>85111</t>
  </si>
  <si>
    <t>Szpitale ogólne</t>
  </si>
  <si>
    <t>85212</t>
  </si>
  <si>
    <t xml:space="preserve">   wydatki bieżące                          </t>
  </si>
  <si>
    <t xml:space="preserve">   wydatki bieżące                     </t>
  </si>
  <si>
    <t xml:space="preserve">   wydatki bieżące                        </t>
  </si>
  <si>
    <t>85233</t>
  </si>
  <si>
    <t>150</t>
  </si>
  <si>
    <t>Przetwórstwo przemysłowe</t>
  </si>
  <si>
    <t>15011</t>
  </si>
  <si>
    <t>Rozwój przedsiębiorczości</t>
  </si>
  <si>
    <t xml:space="preserve">   wydatki bieżące                            </t>
  </si>
  <si>
    <t xml:space="preserve">  wydatki majątkowe</t>
  </si>
  <si>
    <t>71095</t>
  </si>
  <si>
    <t>75075</t>
  </si>
  <si>
    <t>Promocja jednostek samorządu terytorialnego</t>
  </si>
  <si>
    <t>80103</t>
  </si>
  <si>
    <t>Oddziały przedszkolne w szkołach podstawowych</t>
  </si>
  <si>
    <t>85311</t>
  </si>
  <si>
    <t>Rehabilitacja zawodowa i społeczna osób niepełnosprawnych</t>
  </si>
  <si>
    <t>Placówki opiekuńczo-wychowawcze</t>
  </si>
  <si>
    <t>Rodziny zastępcze</t>
  </si>
  <si>
    <t xml:space="preserve">   wydatki bieżące                             </t>
  </si>
  <si>
    <t>Urzędy naczelnych organów władzy państwowej, kontroli i ochrony prawa</t>
  </si>
  <si>
    <t>Zasiłki i pomoc w naturze oraz składki na ubezpieczenia emerytalne i rentowe</t>
  </si>
  <si>
    <t>Ochrona zabytków i opieka nad zabytkami</t>
  </si>
  <si>
    <t>70001</t>
  </si>
  <si>
    <t>Zakłady gospodarki mieszkaniowej</t>
  </si>
  <si>
    <t xml:space="preserve">     dotacje     </t>
  </si>
  <si>
    <t xml:space="preserve">   wydatki bieżące                         </t>
  </si>
  <si>
    <t xml:space="preserve">      wynagr. i pochodne od wynagr.  </t>
  </si>
  <si>
    <t>Zadania w zakresie kultury fizycznej i sportu</t>
  </si>
  <si>
    <t xml:space="preserve">   wydatki bieżące            </t>
  </si>
  <si>
    <t xml:space="preserve">     wydatki na obsługę długu</t>
  </si>
  <si>
    <t xml:space="preserve">Składki na ubezpieczenie zdrowotne oraz świadczenia dla osób nieobjętych obowiązkiem ubezpieczenia zdrowotnego </t>
  </si>
  <si>
    <t>Komendy powiatowe Państwowej Straży Pożarnej</t>
  </si>
  <si>
    <t xml:space="preserve">Teatry </t>
  </si>
  <si>
    <t>Gimnazja specjalne</t>
  </si>
  <si>
    <t>80124</t>
  </si>
  <si>
    <t>Licea profilowane specjalne</t>
  </si>
  <si>
    <t>Dochody od osób prawnych, od osób fizycznych i od innych jednostek nieposiadających osobowości prawnej oraz wydatki związane z ich poborem</t>
  </si>
  <si>
    <t>Poradnie psychologiczno-pedagogiczne, w tym poradnie specjalistyczne</t>
  </si>
  <si>
    <t>ZADANIA REALIZOWANE NA PODSTAWIE POROZUMIEŃ Z ORGANAMI ADMINISTRACJI RZĄDOWEJ</t>
  </si>
  <si>
    <t xml:space="preserve">   wydatki bieżące                </t>
  </si>
  <si>
    <t xml:space="preserve">   wydatki bieżące    </t>
  </si>
  <si>
    <t>80148</t>
  </si>
  <si>
    <t>Stołówki szkolne</t>
  </si>
  <si>
    <t xml:space="preserve">    wynagr. i pochodne od wynagr.</t>
  </si>
  <si>
    <t>60095</t>
  </si>
  <si>
    <t xml:space="preserve">   wydatki bieżące   </t>
  </si>
  <si>
    <t xml:space="preserve">     dotacje </t>
  </si>
  <si>
    <t xml:space="preserve">   wydatki bieżące  </t>
  </si>
  <si>
    <t>ZADANIA ZLECONE Z ZAKRESU ADMINISTRACJI RZADOWEJ</t>
  </si>
  <si>
    <t>Obsługa papierów wartościowych, kredytów i pożyczek jednostek samorządu terytorialnego</t>
  </si>
  <si>
    <t>Część równoważąca subwencji ogólnej dla powiatów</t>
  </si>
  <si>
    <t>75832</t>
  </si>
  <si>
    <t xml:space="preserve">  wydatki bieżące</t>
  </si>
  <si>
    <t>75406</t>
  </si>
  <si>
    <t>Straż Graniczna</t>
  </si>
  <si>
    <t>90005</t>
  </si>
  <si>
    <t>Ochrona powietrza atmosferycznego i klimatu</t>
  </si>
  <si>
    <t xml:space="preserve">   wydatki bieżące             </t>
  </si>
  <si>
    <t>75421</t>
  </si>
  <si>
    <t>Zarządzanie kryzysowe</t>
  </si>
  <si>
    <t xml:space="preserve">   wydatki bieżące          </t>
  </si>
  <si>
    <t xml:space="preserve">   wydatki bieżące                    </t>
  </si>
  <si>
    <t xml:space="preserve">   wydatki bieżące           </t>
  </si>
  <si>
    <t xml:space="preserve">     wynagr. i pochodne od wynagr.  </t>
  </si>
  <si>
    <t>Składki na ubezpieczenie zdrowotne opłacane za osoby pobierające niektóre świadczenia z pomocy społecznej, niektóre świadczenia rodzinne oraz za osoby uczestniczące w zajęciach w centrum integracji społecznej</t>
  </si>
  <si>
    <t>85404</t>
  </si>
  <si>
    <t>Wczesne wspomaganie rozwoju dziecka</t>
  </si>
  <si>
    <t>85420</t>
  </si>
  <si>
    <t>Młodzieżowe ośrodki wychowawcze</t>
  </si>
  <si>
    <t xml:space="preserve">      wynagr.i pochodne od wynagr.  </t>
  </si>
  <si>
    <t>Kwalifikacja wojskowa</t>
  </si>
  <si>
    <t>85205</t>
  </si>
  <si>
    <t>Zadania w zakresie przeciwdziałania przemocy w rodzinie</t>
  </si>
  <si>
    <t>85216</t>
  </si>
  <si>
    <t>Zasiłki stałe</t>
  </si>
  <si>
    <t xml:space="preserve">       dotacje</t>
  </si>
  <si>
    <t xml:space="preserve">   wydatki majątkowe </t>
  </si>
  <si>
    <t xml:space="preserve">  wydatki bieżące </t>
  </si>
  <si>
    <t xml:space="preserve">   wydatki bieżące        </t>
  </si>
  <si>
    <t>Świadczenia rodzinne, świadczenia z funduszu alimentacyjnego oraz składki na ubezpieczenia emerytalne i rentowe z ubezpieczenia społecznego</t>
  </si>
  <si>
    <t>Świadczenia rodzinne, świadczenie z funduszu alimentacyjnego oraz składki na ubezpieczenia emerytalne i rentowe z ubezpieczenia społecznego</t>
  </si>
  <si>
    <t>Placówki wychowania pozaszkolnego</t>
  </si>
  <si>
    <t>Załącznik Nr 2
do uchwały Nr XLIII/604/2009
Rady Miejskiej Kalisza
z dnia 29 grudnia 2009 r.
w sprawie uchwalenia budżetu Kalisza - 
Miasta na prawach powiatu na 2010 rok</t>
  </si>
  <si>
    <t xml:space="preserve"> PLAN WYDATKÓW BUDŻETU KALISZA NA 2010 ROK                                                                                                                        </t>
  </si>
  <si>
    <t>Miasto</t>
  </si>
  <si>
    <t>Powiat</t>
  </si>
  <si>
    <t>Budżet Kalisza                                                         w tym: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</si>
</sst>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</numFmts>
  <fonts count="19">
    <font>
      <sz val="10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0"/>
    </font>
    <font>
      <b/>
      <sz val="10"/>
      <color indexed="18"/>
      <name val="Arial CE"/>
      <family val="0"/>
    </font>
    <font>
      <sz val="10"/>
      <color indexed="17"/>
      <name val="Arial CE"/>
      <family val="2"/>
    </font>
    <font>
      <sz val="7"/>
      <name val="Arial CE"/>
      <family val="0"/>
    </font>
    <font>
      <b/>
      <sz val="7"/>
      <name val="Arial CE"/>
      <family val="0"/>
    </font>
    <font>
      <b/>
      <sz val="9"/>
      <name val="Arial CE"/>
      <family val="2"/>
    </font>
    <font>
      <sz val="9"/>
      <color indexed="14"/>
      <name val="Arial CE"/>
      <family val="2"/>
    </font>
    <font>
      <b/>
      <sz val="8"/>
      <name val="Arial CE"/>
      <family val="2"/>
    </font>
    <font>
      <sz val="8"/>
      <color indexed="14"/>
      <name val="Arial CE"/>
      <family val="0"/>
    </font>
    <font>
      <sz val="8"/>
      <color indexed="12"/>
      <name val="Arial CE"/>
      <family val="0"/>
    </font>
    <font>
      <sz val="6"/>
      <name val="Arial"/>
      <family val="2"/>
    </font>
    <font>
      <b/>
      <sz val="8"/>
      <color indexed="12"/>
      <name val="Arial CE"/>
      <family val="0"/>
    </font>
    <font>
      <sz val="8"/>
      <color indexed="20"/>
      <name val="Arial CE"/>
      <family val="0"/>
    </font>
    <font>
      <b/>
      <sz val="8"/>
      <color indexed="2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Dot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3" fontId="5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/>
    </xf>
    <xf numFmtId="0" fontId="8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/>
    </xf>
    <xf numFmtId="0" fontId="9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wrapText="1"/>
    </xf>
    <xf numFmtId="0" fontId="8" fillId="0" borderId="2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top"/>
    </xf>
    <xf numFmtId="3" fontId="11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top"/>
    </xf>
    <xf numFmtId="3" fontId="2" fillId="0" borderId="2" xfId="0" applyNumberFormat="1" applyFont="1" applyFill="1" applyBorder="1" applyAlignment="1">
      <alignment vertical="top"/>
    </xf>
    <xf numFmtId="3" fontId="10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49" fontId="1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3" fillId="0" borderId="3" xfId="0" applyNumberFormat="1" applyFont="1" applyFill="1" applyBorder="1" applyAlignment="1">
      <alignment horizontal="center" vertical="top"/>
    </xf>
    <xf numFmtId="49" fontId="13" fillId="0" borderId="4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2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49" fontId="0" fillId="0" borderId="0" xfId="0" applyNumberFormat="1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wrapText="1"/>
    </xf>
    <xf numFmtId="0" fontId="3" fillId="0" borderId="0" xfId="0" applyFont="1" applyAlignment="1">
      <alignment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3" fontId="11" fillId="0" borderId="3" xfId="0" applyNumberFormat="1" applyFont="1" applyFill="1" applyBorder="1" applyAlignment="1">
      <alignment vertical="top"/>
    </xf>
    <xf numFmtId="4" fontId="2" fillId="0" borderId="3" xfId="0" applyNumberFormat="1" applyFont="1" applyFill="1" applyBorder="1" applyAlignment="1">
      <alignment/>
    </xf>
    <xf numFmtId="49" fontId="13" fillId="0" borderId="4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right" vertical="center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left" vertical="top" wrapText="1"/>
    </xf>
    <xf numFmtId="3" fontId="10" fillId="0" borderId="4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16" fillId="0" borderId="0" xfId="0" applyNumberFormat="1" applyFont="1" applyFill="1" applyAlignment="1">
      <alignment horizontal="right"/>
    </xf>
    <xf numFmtId="3" fontId="14" fillId="0" borderId="0" xfId="0" applyNumberFormat="1" applyFont="1" applyAlignment="1">
      <alignment horizontal="right"/>
    </xf>
    <xf numFmtId="3" fontId="17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/>
    </xf>
    <xf numFmtId="3" fontId="14" fillId="0" borderId="6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16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 vertical="center"/>
    </xf>
    <xf numFmtId="3" fontId="14" fillId="0" borderId="6" xfId="0" applyNumberFormat="1" applyFont="1" applyFill="1" applyBorder="1" applyAlignment="1">
      <alignment horizontal="center"/>
    </xf>
    <xf numFmtId="3" fontId="14" fillId="0" borderId="6" xfId="0" applyNumberFormat="1" applyFont="1" applyFill="1" applyBorder="1" applyAlignment="1">
      <alignment horizontal="right"/>
    </xf>
    <xf numFmtId="3" fontId="16" fillId="0" borderId="6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Alignment="1">
      <alignment vertical="top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center"/>
    </xf>
    <xf numFmtId="3" fontId="16" fillId="0" borderId="6" xfId="0" applyNumberFormat="1" applyFont="1" applyFill="1" applyBorder="1" applyAlignment="1">
      <alignment/>
    </xf>
    <xf numFmtId="3" fontId="14" fillId="0" borderId="6" xfId="0" applyNumberFormat="1" applyFont="1" applyFill="1" applyBorder="1" applyAlignment="1">
      <alignment vertical="center"/>
    </xf>
    <xf numFmtId="3" fontId="14" fillId="0" borderId="6" xfId="0" applyNumberFormat="1" applyFont="1" applyFill="1" applyBorder="1" applyAlignment="1">
      <alignment vertical="top"/>
    </xf>
    <xf numFmtId="3" fontId="0" fillId="2" borderId="0" xfId="0" applyNumberFormat="1" applyFont="1" applyFill="1" applyAlignment="1">
      <alignment horizontal="left"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 horizontal="right"/>
    </xf>
    <xf numFmtId="4" fontId="10" fillId="0" borderId="1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top"/>
    </xf>
    <xf numFmtId="4" fontId="3" fillId="0" borderId="0" xfId="0" applyNumberFormat="1" applyFont="1" applyFill="1" applyAlignment="1">
      <alignment wrapText="1"/>
    </xf>
    <xf numFmtId="4" fontId="14" fillId="0" borderId="6" xfId="0" applyNumberFormat="1" applyFont="1" applyFill="1" applyBorder="1" applyAlignment="1">
      <alignment/>
    </xf>
    <xf numFmtId="4" fontId="16" fillId="0" borderId="6" xfId="0" applyNumberFormat="1" applyFont="1" applyBorder="1" applyAlignment="1">
      <alignment vertical="top"/>
    </xf>
    <xf numFmtId="4" fontId="2" fillId="0" borderId="4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4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4" fontId="10" fillId="0" borderId="7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vertical="top"/>
    </xf>
    <xf numFmtId="0" fontId="15" fillId="0" borderId="0" xfId="0" applyFont="1" applyFill="1" applyAlignment="1">
      <alignment vertical="top" wrapText="1"/>
    </xf>
    <xf numFmtId="3" fontId="14" fillId="0" borderId="8" xfId="0" applyNumberFormat="1" applyFont="1" applyFill="1" applyBorder="1" applyAlignment="1">
      <alignment horizontal="center"/>
    </xf>
    <xf numFmtId="3" fontId="14" fillId="0" borderId="8" xfId="0" applyNumberFormat="1" applyFont="1" applyFill="1" applyBorder="1" applyAlignment="1">
      <alignment horizontal="right"/>
    </xf>
    <xf numFmtId="3" fontId="14" fillId="0" borderId="8" xfId="0" applyNumberFormat="1" applyFont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6" fillId="0" borderId="8" xfId="0" applyNumberFormat="1" applyFont="1" applyBorder="1" applyAlignment="1">
      <alignment horizontal="right"/>
    </xf>
    <xf numFmtId="3" fontId="14" fillId="0" borderId="8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 vertical="top"/>
    </xf>
    <xf numFmtId="3" fontId="14" fillId="0" borderId="8" xfId="0" applyNumberFormat="1" applyFont="1" applyBorder="1" applyAlignment="1">
      <alignment horizontal="right" vertical="top"/>
    </xf>
    <xf numFmtId="3" fontId="16" fillId="0" borderId="8" xfId="0" applyNumberFormat="1" applyFont="1" applyBorder="1" applyAlignment="1">
      <alignment horizontal="center"/>
    </xf>
    <xf numFmtId="3" fontId="16" fillId="0" borderId="8" xfId="0" applyNumberFormat="1" applyFont="1" applyBorder="1" applyAlignment="1">
      <alignment horizontal="right" vertical="top"/>
    </xf>
    <xf numFmtId="0" fontId="12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top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8"/>
  <sheetViews>
    <sheetView tabSelected="1" view="pageBreakPreview" zoomScale="140" zoomScaleSheetLayoutView="140" workbookViewId="0" topLeftCell="A137">
      <selection activeCell="B476" sqref="B476"/>
    </sheetView>
  </sheetViews>
  <sheetFormatPr defaultColWidth="9.00390625" defaultRowHeight="12.75"/>
  <cols>
    <col min="1" max="1" width="5.375" style="5" customWidth="1"/>
    <col min="2" max="2" width="36.625" style="30" customWidth="1"/>
    <col min="3" max="3" width="13.625" style="48" customWidth="1"/>
    <col min="4" max="4" width="13.75390625" style="48" customWidth="1"/>
    <col min="5" max="5" width="13.625" style="48" customWidth="1"/>
    <col min="6" max="6" width="9.625" style="104" customWidth="1"/>
    <col min="7" max="7" width="11.125" style="108" bestFit="1" customWidth="1"/>
    <col min="8" max="8" width="11.75390625" style="7" hidden="1" customWidth="1"/>
    <col min="9" max="9" width="10.375" style="0" customWidth="1"/>
    <col min="10" max="10" width="9.25390625" style="0" customWidth="1"/>
    <col min="11" max="12" width="10.375" style="0" customWidth="1"/>
  </cols>
  <sheetData>
    <row r="1" spans="2:8" s="5" customFormat="1" ht="54.75" customHeight="1">
      <c r="B1" s="76"/>
      <c r="C1" s="146"/>
      <c r="D1" s="175" t="s">
        <v>332</v>
      </c>
      <c r="E1" s="175"/>
      <c r="F1" s="102"/>
      <c r="G1" s="105"/>
      <c r="H1" s="93"/>
    </row>
    <row r="2" spans="1:8" s="3" customFormat="1" ht="18" customHeight="1">
      <c r="A2" s="172" t="s">
        <v>333</v>
      </c>
      <c r="B2" s="172"/>
      <c r="C2" s="172"/>
      <c r="D2" s="172"/>
      <c r="E2" s="172"/>
      <c r="F2" s="102"/>
      <c r="G2" s="105"/>
      <c r="H2" s="6"/>
    </row>
    <row r="3" spans="1:8" s="4" customFormat="1" ht="9" customHeight="1">
      <c r="A3" s="5"/>
      <c r="B3" s="13"/>
      <c r="C3" s="31"/>
      <c r="D3" s="31"/>
      <c r="E3" s="31"/>
      <c r="F3" s="103"/>
      <c r="G3" s="106"/>
      <c r="H3" s="116"/>
    </row>
    <row r="4" spans="1:8" s="3" customFormat="1" ht="18" customHeight="1">
      <c r="A4" s="173" t="s">
        <v>0</v>
      </c>
      <c r="B4" s="173" t="s">
        <v>1</v>
      </c>
      <c r="C4" s="171" t="s">
        <v>336</v>
      </c>
      <c r="D4" s="171" t="s">
        <v>334</v>
      </c>
      <c r="E4" s="171" t="s">
        <v>335</v>
      </c>
      <c r="F4" s="102"/>
      <c r="G4" s="105"/>
      <c r="H4" s="6"/>
    </row>
    <row r="5" spans="1:8" s="3" customFormat="1" ht="19.5" customHeight="1">
      <c r="A5" s="174"/>
      <c r="B5" s="174"/>
      <c r="C5" s="171"/>
      <c r="D5" s="171"/>
      <c r="E5" s="171"/>
      <c r="F5" s="167"/>
      <c r="G5" s="168"/>
      <c r="H5" s="6"/>
    </row>
    <row r="6" spans="1:8" s="30" customFormat="1" ht="8.25" customHeight="1" thickBot="1">
      <c r="A6" s="14">
        <v>1</v>
      </c>
      <c r="B6" s="14">
        <v>2</v>
      </c>
      <c r="C6" s="14">
        <v>3</v>
      </c>
      <c r="D6" s="14">
        <v>4</v>
      </c>
      <c r="E6" s="96">
        <v>5</v>
      </c>
      <c r="F6" s="147"/>
      <c r="G6" s="111"/>
      <c r="H6" s="88"/>
    </row>
    <row r="7" spans="1:8" s="3" customFormat="1" ht="14.25" thickBot="1" thickTop="1">
      <c r="A7" s="169" t="s">
        <v>2</v>
      </c>
      <c r="B7" s="170"/>
      <c r="C7" s="128">
        <f>SUM(D7,E7)</f>
        <v>380250907.71000004</v>
      </c>
      <c r="D7" s="128">
        <f>SUM(D8,D15,D26,D29,D43,D51,D68,D81,D107,D148,D153,D161,D240,D327,D345,D390,D415,D460,D463,D143,D261,D20,)</f>
        <v>237291254.57</v>
      </c>
      <c r="E7" s="128">
        <f>SUM(E8,E15,E26,E29,E43,E51,E68,E81,E107,E148,E153,E161,E240,E327,E345,E390,E415,E460,E463,E261,E143,E20)</f>
        <v>142959653.14000002</v>
      </c>
      <c r="F7" s="148"/>
      <c r="G7" s="107"/>
      <c r="H7" s="6"/>
    </row>
    <row r="8" spans="1:8" s="3" customFormat="1" ht="13.5" thickTop="1">
      <c r="A8" s="50" t="s">
        <v>3</v>
      </c>
      <c r="B8" s="15" t="s">
        <v>4</v>
      </c>
      <c r="C8" s="32">
        <f>SUM(D8,E8)</f>
        <v>12000</v>
      </c>
      <c r="D8" s="32">
        <f>SUM(D9,D13)</f>
        <v>12000</v>
      </c>
      <c r="E8" s="32">
        <f>SUM(E9,E13)</f>
        <v>0</v>
      </c>
      <c r="F8" s="148"/>
      <c r="G8" s="107"/>
      <c r="H8" s="6"/>
    </row>
    <row r="9" spans="1:8" s="3" customFormat="1" ht="12.75">
      <c r="A9" s="51" t="s">
        <v>5</v>
      </c>
      <c r="B9" s="16" t="s">
        <v>6</v>
      </c>
      <c r="C9" s="33">
        <f>SUM(D9,E9)</f>
        <v>8000</v>
      </c>
      <c r="D9" s="33">
        <f>SUM(D10)</f>
        <v>8000</v>
      </c>
      <c r="E9" s="33">
        <v>0</v>
      </c>
      <c r="F9" s="148"/>
      <c r="G9" s="107"/>
      <c r="H9" s="6"/>
    </row>
    <row r="10" spans="1:8" s="3" customFormat="1" ht="12.75">
      <c r="A10" s="52"/>
      <c r="B10" s="17" t="s">
        <v>15</v>
      </c>
      <c r="C10" s="34">
        <f>SUM(D10,E10)</f>
        <v>8000</v>
      </c>
      <c r="D10" s="34">
        <f>9000-1000</f>
        <v>8000</v>
      </c>
      <c r="E10" s="34">
        <v>0</v>
      </c>
      <c r="F10" s="148"/>
      <c r="G10" s="107"/>
      <c r="H10" s="6"/>
    </row>
    <row r="11" spans="1:8" s="3" customFormat="1" ht="9" customHeight="1">
      <c r="A11" s="52"/>
      <c r="B11" s="17" t="s">
        <v>7</v>
      </c>
      <c r="C11" s="34"/>
      <c r="D11" s="34"/>
      <c r="E11" s="34"/>
      <c r="F11" s="148"/>
      <c r="G11" s="107"/>
      <c r="H11" s="6"/>
    </row>
    <row r="12" spans="1:8" s="3" customFormat="1" ht="12.75">
      <c r="A12" s="53"/>
      <c r="B12" s="18" t="s">
        <v>8</v>
      </c>
      <c r="C12" s="35">
        <f aca="true" t="shared" si="0" ref="C12:C22">SUM(D12,E12)</f>
        <v>8000</v>
      </c>
      <c r="D12" s="35">
        <f>9000-1000</f>
        <v>8000</v>
      </c>
      <c r="E12" s="35">
        <v>0</v>
      </c>
      <c r="F12" s="148"/>
      <c r="G12" s="107"/>
      <c r="H12" s="6"/>
    </row>
    <row r="13" spans="1:8" s="3" customFormat="1" ht="12.75">
      <c r="A13" s="51" t="s">
        <v>9</v>
      </c>
      <c r="B13" s="16" t="s">
        <v>10</v>
      </c>
      <c r="C13" s="33">
        <f t="shared" si="0"/>
        <v>4000</v>
      </c>
      <c r="D13" s="33">
        <f>SUM(D14)</f>
        <v>4000</v>
      </c>
      <c r="E13" s="33">
        <v>0</v>
      </c>
      <c r="F13" s="148"/>
      <c r="G13" s="107"/>
      <c r="H13" s="6"/>
    </row>
    <row r="14" spans="1:8" s="3" customFormat="1" ht="12.75">
      <c r="A14" s="54"/>
      <c r="B14" s="18" t="s">
        <v>29</v>
      </c>
      <c r="C14" s="35">
        <f t="shared" si="0"/>
        <v>4000</v>
      </c>
      <c r="D14" s="34">
        <f>4100-100</f>
        <v>4000</v>
      </c>
      <c r="E14" s="35">
        <v>0</v>
      </c>
      <c r="F14" s="148"/>
      <c r="G14" s="107"/>
      <c r="H14" s="6"/>
    </row>
    <row r="15" spans="1:8" s="3" customFormat="1" ht="12.75">
      <c r="A15" s="55" t="s">
        <v>11</v>
      </c>
      <c r="B15" s="19" t="s">
        <v>12</v>
      </c>
      <c r="C15" s="36">
        <f t="shared" si="0"/>
        <v>5000</v>
      </c>
      <c r="D15" s="32">
        <f>SUM(D18)</f>
        <v>0</v>
      </c>
      <c r="E15" s="32">
        <f>SUM(E18,E16)</f>
        <v>5000</v>
      </c>
      <c r="F15" s="148"/>
      <c r="G15" s="107"/>
      <c r="H15" s="6"/>
    </row>
    <row r="16" spans="1:8" s="3" customFormat="1" ht="12.75">
      <c r="A16" s="56" t="s">
        <v>13</v>
      </c>
      <c r="B16" s="17" t="s">
        <v>14</v>
      </c>
      <c r="C16" s="34">
        <f t="shared" si="0"/>
        <v>4000</v>
      </c>
      <c r="D16" s="34">
        <f>SUM(D17)</f>
        <v>0</v>
      </c>
      <c r="E16" s="34">
        <f>SUM(E17)</f>
        <v>4000</v>
      </c>
      <c r="F16" s="148"/>
      <c r="G16" s="107"/>
      <c r="H16" s="6"/>
    </row>
    <row r="17" spans="1:8" s="3" customFormat="1" ht="12.75">
      <c r="A17" s="54"/>
      <c r="B17" s="18" t="s">
        <v>297</v>
      </c>
      <c r="C17" s="35">
        <f t="shared" si="0"/>
        <v>4000</v>
      </c>
      <c r="D17" s="35">
        <v>0</v>
      </c>
      <c r="E17" s="35">
        <v>4000</v>
      </c>
      <c r="F17" s="148"/>
      <c r="G17" s="107"/>
      <c r="H17" s="6"/>
    </row>
    <row r="18" spans="1:8" s="3" customFormat="1" ht="12.75">
      <c r="A18" s="56" t="s">
        <v>16</v>
      </c>
      <c r="B18" s="17" t="s">
        <v>17</v>
      </c>
      <c r="C18" s="34">
        <f t="shared" si="0"/>
        <v>1000</v>
      </c>
      <c r="D18" s="34">
        <f>SUM(D19)</f>
        <v>0</v>
      </c>
      <c r="E18" s="34">
        <f>SUM(E19)</f>
        <v>1000</v>
      </c>
      <c r="F18" s="148"/>
      <c r="G18" s="123"/>
      <c r="H18" s="6"/>
    </row>
    <row r="19" spans="1:8" s="3" customFormat="1" ht="12.75" customHeight="1">
      <c r="A19" s="54"/>
      <c r="B19" s="18" t="s">
        <v>297</v>
      </c>
      <c r="C19" s="35">
        <f t="shared" si="0"/>
        <v>1000</v>
      </c>
      <c r="D19" s="35">
        <v>0</v>
      </c>
      <c r="E19" s="35">
        <v>1000</v>
      </c>
      <c r="F19" s="148"/>
      <c r="G19" s="123"/>
      <c r="H19" s="6"/>
    </row>
    <row r="20" spans="1:8" s="3" customFormat="1" ht="12.75">
      <c r="A20" s="57" t="s">
        <v>253</v>
      </c>
      <c r="B20" s="15" t="s">
        <v>254</v>
      </c>
      <c r="C20" s="37">
        <f t="shared" si="0"/>
        <v>89800</v>
      </c>
      <c r="D20" s="37">
        <f>SUM(D21)</f>
        <v>89800</v>
      </c>
      <c r="E20" s="32">
        <v>0</v>
      </c>
      <c r="F20" s="148"/>
      <c r="G20" s="107"/>
      <c r="H20" s="6"/>
    </row>
    <row r="21" spans="1:8" s="3" customFormat="1" ht="12.75">
      <c r="A21" s="56" t="s">
        <v>255</v>
      </c>
      <c r="B21" s="17" t="s">
        <v>256</v>
      </c>
      <c r="C21" s="34">
        <f t="shared" si="0"/>
        <v>89800</v>
      </c>
      <c r="D21" s="34">
        <f>SUM(D22)</f>
        <v>89800</v>
      </c>
      <c r="E21" s="34">
        <v>0</v>
      </c>
      <c r="F21" s="148"/>
      <c r="G21" s="107"/>
      <c r="H21" s="6"/>
    </row>
    <row r="22" spans="1:8" s="3" customFormat="1" ht="12.75">
      <c r="A22" s="56"/>
      <c r="B22" s="17" t="s">
        <v>257</v>
      </c>
      <c r="C22" s="34">
        <f t="shared" si="0"/>
        <v>89800</v>
      </c>
      <c r="D22" s="34">
        <v>89800</v>
      </c>
      <c r="E22" s="34">
        <v>0</v>
      </c>
      <c r="F22" s="148"/>
      <c r="G22" s="107"/>
      <c r="H22" s="6"/>
    </row>
    <row r="23" spans="1:8" s="3" customFormat="1" ht="9.75" customHeight="1">
      <c r="A23" s="52"/>
      <c r="B23" s="17" t="s">
        <v>7</v>
      </c>
      <c r="C23" s="38"/>
      <c r="D23" s="34"/>
      <c r="E23" s="34"/>
      <c r="F23" s="148"/>
      <c r="G23" s="123"/>
      <c r="H23" s="6"/>
    </row>
    <row r="24" spans="1:8" s="3" customFormat="1" ht="12.75">
      <c r="A24" s="52"/>
      <c r="B24" s="17" t="s">
        <v>274</v>
      </c>
      <c r="C24" s="34">
        <f aca="true" t="shared" si="1" ref="C24:C34">SUM(D24,E24)</f>
        <v>77800</v>
      </c>
      <c r="D24" s="34">
        <v>77800</v>
      </c>
      <c r="E24" s="34">
        <v>0</v>
      </c>
      <c r="F24" s="148"/>
      <c r="G24" s="123"/>
      <c r="H24" s="6"/>
    </row>
    <row r="25" spans="1:8" s="3" customFormat="1" ht="12.75">
      <c r="A25" s="53"/>
      <c r="B25" s="18" t="s">
        <v>110</v>
      </c>
      <c r="C25" s="35">
        <f t="shared" si="1"/>
        <v>7500</v>
      </c>
      <c r="D25" s="35">
        <f>7600-100</f>
        <v>7500</v>
      </c>
      <c r="E25" s="35">
        <v>0</v>
      </c>
      <c r="F25" s="148"/>
      <c r="G25" s="107"/>
      <c r="H25" s="6"/>
    </row>
    <row r="26" spans="1:8" s="3" customFormat="1" ht="18">
      <c r="A26" s="55" t="s">
        <v>18</v>
      </c>
      <c r="B26" s="19" t="s">
        <v>19</v>
      </c>
      <c r="C26" s="39">
        <f t="shared" si="1"/>
        <v>2133200</v>
      </c>
      <c r="D26" s="39">
        <f>SUM(D27)</f>
        <v>2133200</v>
      </c>
      <c r="E26" s="39">
        <f>SUM(E27)</f>
        <v>0</v>
      </c>
      <c r="F26" s="148"/>
      <c r="G26" s="112"/>
      <c r="H26" s="102"/>
    </row>
    <row r="27" spans="1:8" s="3" customFormat="1" ht="12.75">
      <c r="A27" s="51" t="s">
        <v>20</v>
      </c>
      <c r="B27" s="16" t="s">
        <v>21</v>
      </c>
      <c r="C27" s="34">
        <f t="shared" si="1"/>
        <v>2133200</v>
      </c>
      <c r="D27" s="34">
        <f>SUM(D28)</f>
        <v>2133200</v>
      </c>
      <c r="E27" s="34">
        <f>SUM(E28)</f>
        <v>0</v>
      </c>
      <c r="F27" s="148"/>
      <c r="G27" s="107"/>
      <c r="H27" s="6"/>
    </row>
    <row r="28" spans="1:8" s="3" customFormat="1" ht="12.75">
      <c r="A28" s="54"/>
      <c r="B28" s="18" t="s">
        <v>326</v>
      </c>
      <c r="C28" s="35">
        <f t="shared" si="1"/>
        <v>2133200</v>
      </c>
      <c r="D28" s="35">
        <v>2133200</v>
      </c>
      <c r="E28" s="35">
        <v>0</v>
      </c>
      <c r="F28" s="148"/>
      <c r="G28" s="107"/>
      <c r="H28" s="6"/>
    </row>
    <row r="29" spans="1:8" s="3" customFormat="1" ht="12.75">
      <c r="A29" s="57" t="s">
        <v>23</v>
      </c>
      <c r="B29" s="15" t="s">
        <v>24</v>
      </c>
      <c r="C29" s="145">
        <f t="shared" si="1"/>
        <v>74521937.99000001</v>
      </c>
      <c r="D29" s="37">
        <f>SUM(D30,D33,D38,D41)</f>
        <v>29173918</v>
      </c>
      <c r="E29" s="145">
        <f>SUM(E30,E33,E38)</f>
        <v>45348019.99</v>
      </c>
      <c r="F29" s="148"/>
      <c r="G29" s="107"/>
      <c r="H29" s="6"/>
    </row>
    <row r="30" spans="1:8" s="3" customFormat="1" ht="12.75">
      <c r="A30" s="51" t="s">
        <v>25</v>
      </c>
      <c r="B30" s="16" t="s">
        <v>26</v>
      </c>
      <c r="C30" s="33">
        <f t="shared" si="1"/>
        <v>14437800</v>
      </c>
      <c r="D30" s="34">
        <f>SUM(D31,D32)</f>
        <v>14437800</v>
      </c>
      <c r="E30" s="33">
        <v>0</v>
      </c>
      <c r="F30" s="148"/>
      <c r="G30" s="107"/>
      <c r="H30" s="6"/>
    </row>
    <row r="31" spans="1:8" s="3" customFormat="1" ht="12.75" customHeight="1">
      <c r="A31" s="56"/>
      <c r="B31" s="17" t="s">
        <v>327</v>
      </c>
      <c r="C31" s="34">
        <f t="shared" si="1"/>
        <v>10050000</v>
      </c>
      <c r="D31" s="34">
        <f>10070120-151000+149880-49000+30000</f>
        <v>10050000</v>
      </c>
      <c r="E31" s="34">
        <v>0</v>
      </c>
      <c r="F31" s="148"/>
      <c r="G31" s="107"/>
      <c r="H31" s="6"/>
    </row>
    <row r="32" spans="1:8" s="3" customFormat="1" ht="12.75" customHeight="1">
      <c r="A32" s="54"/>
      <c r="B32" s="18" t="s">
        <v>258</v>
      </c>
      <c r="C32" s="35">
        <f t="shared" si="1"/>
        <v>4387800</v>
      </c>
      <c r="D32" s="35">
        <v>4387800</v>
      </c>
      <c r="E32" s="35">
        <v>0</v>
      </c>
      <c r="F32" s="148"/>
      <c r="G32" s="107"/>
      <c r="H32" s="6"/>
    </row>
    <row r="33" spans="1:8" s="3" customFormat="1" ht="12" customHeight="1">
      <c r="A33" s="56" t="s">
        <v>27</v>
      </c>
      <c r="B33" s="17" t="s">
        <v>28</v>
      </c>
      <c r="C33" s="130">
        <f t="shared" si="1"/>
        <v>47653919.99</v>
      </c>
      <c r="D33" s="40">
        <f>SUM(D34,D37)</f>
        <v>2305900</v>
      </c>
      <c r="E33" s="130">
        <f>SUM(E34,E37)</f>
        <v>45348019.99</v>
      </c>
      <c r="F33" s="148"/>
      <c r="G33" s="107"/>
      <c r="H33" s="6"/>
    </row>
    <row r="34" spans="1:8" s="3" customFormat="1" ht="12.75">
      <c r="A34" s="56"/>
      <c r="B34" s="17" t="s">
        <v>29</v>
      </c>
      <c r="C34" s="34">
        <f t="shared" si="1"/>
        <v>8712800</v>
      </c>
      <c r="D34" s="34">
        <f>2341000-35100</f>
        <v>2305900</v>
      </c>
      <c r="E34" s="34">
        <f>9504500-3000000-97600</f>
        <v>6406900</v>
      </c>
      <c r="F34" s="148"/>
      <c r="G34" s="107"/>
      <c r="H34" s="6"/>
    </row>
    <row r="35" spans="1:8" s="3" customFormat="1" ht="9" customHeight="1">
      <c r="A35" s="56"/>
      <c r="B35" s="17" t="s">
        <v>30</v>
      </c>
      <c r="C35" s="34"/>
      <c r="D35" s="34"/>
      <c r="E35" s="34"/>
      <c r="F35" s="148"/>
      <c r="G35" s="107"/>
      <c r="H35" s="6"/>
    </row>
    <row r="36" spans="1:8" s="3" customFormat="1" ht="12.75">
      <c r="A36" s="56"/>
      <c r="B36" s="17" t="s">
        <v>31</v>
      </c>
      <c r="C36" s="34">
        <f aca="true" t="shared" si="2" ref="C36:C45">SUM(D36,E36)</f>
        <v>2892700</v>
      </c>
      <c r="D36" s="34">
        <v>0</v>
      </c>
      <c r="E36" s="34">
        <f>2936700-44000</f>
        <v>2892700</v>
      </c>
      <c r="F36" s="148"/>
      <c r="G36" s="107"/>
      <c r="H36" s="6"/>
    </row>
    <row r="37" spans="1:8" s="3" customFormat="1" ht="12.75">
      <c r="A37" s="54"/>
      <c r="B37" s="18" t="s">
        <v>258</v>
      </c>
      <c r="C37" s="134">
        <f t="shared" si="2"/>
        <v>38941119.99</v>
      </c>
      <c r="D37" s="35">
        <v>0</v>
      </c>
      <c r="E37" s="134">
        <f>33870000+4979999.99+91120</f>
        <v>38941119.99</v>
      </c>
      <c r="F37" s="148"/>
      <c r="G37" s="132"/>
      <c r="H37" s="6"/>
    </row>
    <row r="38" spans="1:8" s="3" customFormat="1" ht="13.5" customHeight="1">
      <c r="A38" s="51" t="s">
        <v>32</v>
      </c>
      <c r="B38" s="16" t="s">
        <v>33</v>
      </c>
      <c r="C38" s="33">
        <f t="shared" si="2"/>
        <v>12130218</v>
      </c>
      <c r="D38" s="33">
        <f>SUM(D39,D40)</f>
        <v>12130218</v>
      </c>
      <c r="E38" s="33">
        <f>SUM(E39)</f>
        <v>0</v>
      </c>
      <c r="F38" s="148"/>
      <c r="G38" s="107"/>
      <c r="H38" s="6"/>
    </row>
    <row r="39" spans="1:8" s="3" customFormat="1" ht="14.25" customHeight="1">
      <c r="A39" s="52"/>
      <c r="B39" s="17" t="s">
        <v>29</v>
      </c>
      <c r="C39" s="34">
        <f t="shared" si="2"/>
        <v>775218</v>
      </c>
      <c r="D39" s="34">
        <v>775218</v>
      </c>
      <c r="E39" s="34">
        <v>0</v>
      </c>
      <c r="F39" s="148"/>
      <c r="G39" s="107"/>
      <c r="H39" s="6"/>
    </row>
    <row r="40" spans="1:8" s="3" customFormat="1" ht="12.75">
      <c r="A40" s="53"/>
      <c r="B40" s="18" t="s">
        <v>22</v>
      </c>
      <c r="C40" s="35">
        <f t="shared" si="2"/>
        <v>11355000</v>
      </c>
      <c r="D40" s="35">
        <f>11450000-95000</f>
        <v>11355000</v>
      </c>
      <c r="E40" s="35">
        <v>0</v>
      </c>
      <c r="F40" s="148"/>
      <c r="G40" s="107"/>
      <c r="H40" s="6"/>
    </row>
    <row r="41" spans="1:8" s="3" customFormat="1" ht="12.75">
      <c r="A41" s="51" t="s">
        <v>294</v>
      </c>
      <c r="B41" s="16" t="s">
        <v>10</v>
      </c>
      <c r="C41" s="33">
        <f t="shared" si="2"/>
        <v>300000</v>
      </c>
      <c r="D41" s="33">
        <f>SUM(D42)</f>
        <v>300000</v>
      </c>
      <c r="E41" s="33">
        <f>SUM(E42)</f>
        <v>0</v>
      </c>
      <c r="F41" s="148"/>
      <c r="G41" s="107"/>
      <c r="H41" s="6"/>
    </row>
    <row r="42" spans="1:8" s="3" customFormat="1" ht="12.75">
      <c r="A42" s="54"/>
      <c r="B42" s="18" t="s">
        <v>22</v>
      </c>
      <c r="C42" s="35">
        <f t="shared" si="2"/>
        <v>300000</v>
      </c>
      <c r="D42" s="35">
        <v>300000</v>
      </c>
      <c r="E42" s="35">
        <v>0</v>
      </c>
      <c r="F42" s="148"/>
      <c r="G42" s="107"/>
      <c r="H42" s="6"/>
    </row>
    <row r="43" spans="1:7" ht="15" customHeight="1">
      <c r="A43" s="57" t="s">
        <v>35</v>
      </c>
      <c r="B43" s="15" t="s">
        <v>36</v>
      </c>
      <c r="C43" s="42">
        <f t="shared" si="2"/>
        <v>6446200</v>
      </c>
      <c r="D43" s="42">
        <f>SUM(D44,D48)</f>
        <v>6446200</v>
      </c>
      <c r="E43" s="42">
        <f>SUM(E44,E48)</f>
        <v>0</v>
      </c>
      <c r="F43" s="149"/>
      <c r="G43" s="107"/>
    </row>
    <row r="44" spans="1:7" ht="12" customHeight="1">
      <c r="A44" s="51" t="s">
        <v>37</v>
      </c>
      <c r="B44" s="16" t="s">
        <v>38</v>
      </c>
      <c r="C44" s="41">
        <f t="shared" si="2"/>
        <v>49200</v>
      </c>
      <c r="D44" s="40">
        <f>SUM(D45)</f>
        <v>49200</v>
      </c>
      <c r="E44" s="40">
        <f>SUM(E45)</f>
        <v>0</v>
      </c>
      <c r="F44" s="149"/>
      <c r="G44" s="107"/>
    </row>
    <row r="45" spans="1:7" ht="12.75">
      <c r="A45" s="56"/>
      <c r="B45" s="17" t="s">
        <v>15</v>
      </c>
      <c r="C45" s="34">
        <f t="shared" si="2"/>
        <v>49200</v>
      </c>
      <c r="D45" s="34">
        <f>66000-16000-800</f>
        <v>49200</v>
      </c>
      <c r="E45" s="34">
        <v>0</v>
      </c>
      <c r="F45" s="149"/>
      <c r="G45" s="107"/>
    </row>
    <row r="46" spans="1:7" ht="9" customHeight="1">
      <c r="A46" s="52"/>
      <c r="B46" s="17" t="s">
        <v>7</v>
      </c>
      <c r="C46" s="34"/>
      <c r="D46" s="34"/>
      <c r="E46" s="34"/>
      <c r="F46" s="149"/>
      <c r="G46" s="107"/>
    </row>
    <row r="47" spans="1:7" ht="12.75">
      <c r="A47" s="53"/>
      <c r="B47" s="18" t="s">
        <v>110</v>
      </c>
      <c r="C47" s="35">
        <f aca="true" t="shared" si="3" ref="C47:C53">SUM(D47,E47)</f>
        <v>4000</v>
      </c>
      <c r="D47" s="35">
        <v>4000</v>
      </c>
      <c r="E47" s="35">
        <v>0</v>
      </c>
      <c r="F47" s="149"/>
      <c r="G47" s="107"/>
    </row>
    <row r="48" spans="1:7" ht="12.75" customHeight="1">
      <c r="A48" s="51" t="s">
        <v>39</v>
      </c>
      <c r="B48" s="16" t="s">
        <v>10</v>
      </c>
      <c r="C48" s="34">
        <f t="shared" si="3"/>
        <v>6397000</v>
      </c>
      <c r="D48" s="34">
        <f>SUM(D49,D50)</f>
        <v>6397000</v>
      </c>
      <c r="E48" s="34">
        <f>SUM(E49)</f>
        <v>0</v>
      </c>
      <c r="F48" s="149"/>
      <c r="G48" s="107"/>
    </row>
    <row r="49" spans="1:7" ht="13.5" customHeight="1">
      <c r="A49" s="56"/>
      <c r="B49" s="17" t="s">
        <v>29</v>
      </c>
      <c r="C49" s="34">
        <f t="shared" si="3"/>
        <v>197000</v>
      </c>
      <c r="D49" s="34">
        <f>200000-3000</f>
        <v>197000</v>
      </c>
      <c r="E49" s="34">
        <v>0</v>
      </c>
      <c r="F49" s="149"/>
      <c r="G49" s="107"/>
    </row>
    <row r="50" spans="1:8" s="3" customFormat="1" ht="13.5" customHeight="1">
      <c r="A50" s="54"/>
      <c r="B50" s="18" t="s">
        <v>22</v>
      </c>
      <c r="C50" s="35">
        <f t="shared" si="3"/>
        <v>6200000</v>
      </c>
      <c r="D50" s="35">
        <v>6200000</v>
      </c>
      <c r="E50" s="35">
        <v>0</v>
      </c>
      <c r="F50" s="148"/>
      <c r="G50" s="107"/>
      <c r="H50" s="6"/>
    </row>
    <row r="51" spans="1:7" ht="14.25" customHeight="1">
      <c r="A51" s="57" t="s">
        <v>40</v>
      </c>
      <c r="B51" s="15" t="s">
        <v>41</v>
      </c>
      <c r="C51" s="42">
        <f t="shared" si="3"/>
        <v>5706880</v>
      </c>
      <c r="D51" s="42">
        <f>SUM(D57,D61,D63,D52)</f>
        <v>5696080</v>
      </c>
      <c r="E51" s="42">
        <f>SUM(E57,E63,E52)</f>
        <v>10800</v>
      </c>
      <c r="F51" s="149"/>
      <c r="G51" s="107"/>
    </row>
    <row r="52" spans="1:7" ht="14.25" customHeight="1">
      <c r="A52" s="51" t="s">
        <v>272</v>
      </c>
      <c r="B52" s="16" t="s">
        <v>273</v>
      </c>
      <c r="C52" s="33">
        <f t="shared" si="3"/>
        <v>1970000</v>
      </c>
      <c r="D52" s="34">
        <f>SUM(D53,D56)</f>
        <v>1970000</v>
      </c>
      <c r="E52" s="34">
        <v>0</v>
      </c>
      <c r="F52" s="149"/>
      <c r="G52" s="107"/>
    </row>
    <row r="53" spans="1:7" ht="12.75" customHeight="1">
      <c r="A53" s="56"/>
      <c r="B53" s="17" t="s">
        <v>15</v>
      </c>
      <c r="C53" s="34">
        <f t="shared" si="3"/>
        <v>1000000</v>
      </c>
      <c r="D53" s="34">
        <f>2000000-30000-970000</f>
        <v>1000000</v>
      </c>
      <c r="E53" s="34">
        <v>0</v>
      </c>
      <c r="F53" s="149"/>
      <c r="G53" s="107"/>
    </row>
    <row r="54" spans="1:7" ht="9.75" customHeight="1">
      <c r="A54" s="56"/>
      <c r="B54" s="17" t="s">
        <v>7</v>
      </c>
      <c r="C54" s="34"/>
      <c r="D54" s="34"/>
      <c r="E54" s="34"/>
      <c r="F54" s="149"/>
      <c r="G54" s="107"/>
    </row>
    <row r="55" spans="1:7" ht="12" customHeight="1">
      <c r="A55" s="56"/>
      <c r="B55" s="17" t="s">
        <v>8</v>
      </c>
      <c r="C55" s="34">
        <f>SUM(D55,E55)</f>
        <v>1000000</v>
      </c>
      <c r="D55" s="34">
        <f>2000000-30000-970000</f>
        <v>1000000</v>
      </c>
      <c r="E55" s="34">
        <v>0</v>
      </c>
      <c r="F55" s="149"/>
      <c r="G55" s="107"/>
    </row>
    <row r="56" spans="1:8" s="3" customFormat="1" ht="12" customHeight="1">
      <c r="A56" s="54"/>
      <c r="B56" s="18" t="s">
        <v>22</v>
      </c>
      <c r="C56" s="35">
        <f>SUM(D56,E56)</f>
        <v>970000</v>
      </c>
      <c r="D56" s="35">
        <v>970000</v>
      </c>
      <c r="E56" s="35">
        <v>0</v>
      </c>
      <c r="F56" s="148"/>
      <c r="G56" s="107"/>
      <c r="H56" s="6"/>
    </row>
    <row r="57" spans="1:8" s="3" customFormat="1" ht="13.5" customHeight="1">
      <c r="A57" s="56" t="s">
        <v>42</v>
      </c>
      <c r="B57" s="17" t="s">
        <v>235</v>
      </c>
      <c r="C57" s="34">
        <f>SUM(D57,E57)</f>
        <v>1102100</v>
      </c>
      <c r="D57" s="34">
        <f>SUM(D58,)</f>
        <v>1091300</v>
      </c>
      <c r="E57" s="34">
        <f>SUM(E58,)</f>
        <v>10800</v>
      </c>
      <c r="F57" s="148"/>
      <c r="G57" s="107"/>
      <c r="H57" s="6"/>
    </row>
    <row r="58" spans="1:8" s="3" customFormat="1" ht="12.75">
      <c r="A58" s="52"/>
      <c r="B58" s="17" t="s">
        <v>251</v>
      </c>
      <c r="C58" s="34">
        <f>SUM(D58,E58)</f>
        <v>1102100</v>
      </c>
      <c r="D58" s="34">
        <v>1091300</v>
      </c>
      <c r="E58" s="34">
        <v>10800</v>
      </c>
      <c r="F58" s="148"/>
      <c r="G58" s="107"/>
      <c r="H58" s="6"/>
    </row>
    <row r="59" spans="1:8" s="3" customFormat="1" ht="9" customHeight="1">
      <c r="A59" s="52"/>
      <c r="B59" s="17" t="s">
        <v>7</v>
      </c>
      <c r="C59" s="38"/>
      <c r="D59" s="34"/>
      <c r="E59" s="34"/>
      <c r="F59" s="148"/>
      <c r="G59" s="107"/>
      <c r="H59" s="6"/>
    </row>
    <row r="60" spans="1:8" s="3" customFormat="1" ht="12" customHeight="1">
      <c r="A60" s="53"/>
      <c r="B60" s="18" t="s">
        <v>313</v>
      </c>
      <c r="C60" s="35">
        <f>SUM(D60,E60)</f>
        <v>19000</v>
      </c>
      <c r="D60" s="35">
        <v>19000</v>
      </c>
      <c r="E60" s="35">
        <v>0</v>
      </c>
      <c r="F60" s="148"/>
      <c r="G60" s="107"/>
      <c r="H60" s="6"/>
    </row>
    <row r="61" spans="1:8" s="3" customFormat="1" ht="12.75" customHeight="1">
      <c r="A61" s="56" t="s">
        <v>43</v>
      </c>
      <c r="B61" s="17" t="s">
        <v>44</v>
      </c>
      <c r="C61" s="34">
        <f>SUM(D61,E61)</f>
        <v>2000000</v>
      </c>
      <c r="D61" s="34">
        <f>SUM(D62)</f>
        <v>2000000</v>
      </c>
      <c r="E61" s="34">
        <f>SUM(E62)</f>
        <v>0</v>
      </c>
      <c r="F61" s="148"/>
      <c r="G61" s="107"/>
      <c r="H61" s="6"/>
    </row>
    <row r="62" spans="1:8" s="3" customFormat="1" ht="12.75">
      <c r="A62" s="54"/>
      <c r="B62" s="18" t="s">
        <v>22</v>
      </c>
      <c r="C62" s="35">
        <f>SUM(D62,E62)</f>
        <v>2000000</v>
      </c>
      <c r="D62" s="35">
        <v>2000000</v>
      </c>
      <c r="E62" s="35">
        <v>0</v>
      </c>
      <c r="F62" s="148"/>
      <c r="G62" s="107"/>
      <c r="H62" s="6"/>
    </row>
    <row r="63" spans="1:8" s="3" customFormat="1" ht="12.75">
      <c r="A63" s="56" t="s">
        <v>45</v>
      </c>
      <c r="B63" s="17" t="s">
        <v>10</v>
      </c>
      <c r="C63" s="34">
        <f>SUM(D63,E63)</f>
        <v>634780</v>
      </c>
      <c r="D63" s="33">
        <f>SUM(D64,D67)</f>
        <v>634780</v>
      </c>
      <c r="E63" s="33">
        <f>SUM(E64)</f>
        <v>0</v>
      </c>
      <c r="F63" s="148"/>
      <c r="G63" s="107"/>
      <c r="H63" s="6"/>
    </row>
    <row r="64" spans="1:8" s="3" customFormat="1" ht="12.75">
      <c r="A64" s="52"/>
      <c r="B64" s="17" t="s">
        <v>15</v>
      </c>
      <c r="C64" s="34">
        <f>SUM(D64,E64)</f>
        <v>284780</v>
      </c>
      <c r="D64" s="34">
        <v>284780</v>
      </c>
      <c r="E64" s="34">
        <v>0</v>
      </c>
      <c r="F64" s="148"/>
      <c r="G64" s="107"/>
      <c r="H64" s="6"/>
    </row>
    <row r="65" spans="1:8" s="3" customFormat="1" ht="9" customHeight="1">
      <c r="A65" s="52"/>
      <c r="B65" s="17" t="s">
        <v>7</v>
      </c>
      <c r="C65" s="38"/>
      <c r="D65" s="34"/>
      <c r="E65" s="34"/>
      <c r="F65" s="148"/>
      <c r="G65" s="107"/>
      <c r="H65" s="6"/>
    </row>
    <row r="66" spans="1:8" s="3" customFormat="1" ht="12.75">
      <c r="A66" s="52"/>
      <c r="B66" s="17" t="s">
        <v>110</v>
      </c>
      <c r="C66" s="34">
        <f>SUM(D66,E66)</f>
        <v>60480</v>
      </c>
      <c r="D66" s="34">
        <f>51400-400+9480</f>
        <v>60480</v>
      </c>
      <c r="E66" s="34">
        <v>0</v>
      </c>
      <c r="F66" s="148"/>
      <c r="G66" s="107"/>
      <c r="H66" s="6"/>
    </row>
    <row r="67" spans="1:8" s="3" customFormat="1" ht="12.75">
      <c r="A67" s="54"/>
      <c r="B67" s="18" t="s">
        <v>34</v>
      </c>
      <c r="C67" s="35">
        <f>SUM(D67,E67)</f>
        <v>350000</v>
      </c>
      <c r="D67" s="35">
        <f>500000-150000</f>
        <v>350000</v>
      </c>
      <c r="E67" s="35">
        <v>0</v>
      </c>
      <c r="F67" s="148"/>
      <c r="G67" s="107"/>
      <c r="H67" s="6"/>
    </row>
    <row r="68" spans="1:9" ht="12.75">
      <c r="A68" s="55" t="s">
        <v>46</v>
      </c>
      <c r="B68" s="19" t="s">
        <v>47</v>
      </c>
      <c r="C68" s="39">
        <f>SUM(D68,E68)</f>
        <v>468700</v>
      </c>
      <c r="D68" s="39">
        <f>SUM(D69,D73,D75,D77,D79)</f>
        <v>443200</v>
      </c>
      <c r="E68" s="39">
        <f>SUM(E69,E73,E75,E77,E79)</f>
        <v>25500</v>
      </c>
      <c r="F68" s="149"/>
      <c r="G68" s="107"/>
      <c r="H68" s="90"/>
      <c r="I68" s="91"/>
    </row>
    <row r="69" spans="1:7" ht="13.5" customHeight="1">
      <c r="A69" s="56" t="s">
        <v>48</v>
      </c>
      <c r="B69" s="17" t="s">
        <v>49</v>
      </c>
      <c r="C69" s="33">
        <f>SUM(D69,E69)</f>
        <v>216700</v>
      </c>
      <c r="D69" s="34">
        <f>SUM(D70)</f>
        <v>216700</v>
      </c>
      <c r="E69" s="34">
        <f>SUM(E70)</f>
        <v>0</v>
      </c>
      <c r="F69" s="149"/>
      <c r="G69" s="107"/>
    </row>
    <row r="70" spans="1:7" ht="12.75">
      <c r="A70" s="56"/>
      <c r="B70" s="17" t="s">
        <v>29</v>
      </c>
      <c r="C70" s="34">
        <f>SUM(D70,E70)</f>
        <v>216700</v>
      </c>
      <c r="D70" s="34">
        <f>220000-3300</f>
        <v>216700</v>
      </c>
      <c r="E70" s="34">
        <v>0</v>
      </c>
      <c r="F70" s="149"/>
      <c r="G70" s="107"/>
    </row>
    <row r="71" spans="1:7" ht="9" customHeight="1">
      <c r="A71" s="56"/>
      <c r="B71" s="17" t="s">
        <v>7</v>
      </c>
      <c r="C71" s="34"/>
      <c r="D71" s="34"/>
      <c r="E71" s="34"/>
      <c r="F71" s="149"/>
      <c r="G71" s="107"/>
    </row>
    <row r="72" spans="1:7" ht="12.75">
      <c r="A72" s="54"/>
      <c r="B72" s="18" t="s">
        <v>110</v>
      </c>
      <c r="C72" s="35">
        <f aca="true" t="shared" si="4" ref="C72:C83">SUM(D72,E72)</f>
        <v>19700</v>
      </c>
      <c r="D72" s="35">
        <f>20000-300</f>
        <v>19700</v>
      </c>
      <c r="E72" s="35">
        <v>0</v>
      </c>
      <c r="F72" s="149"/>
      <c r="G72" s="107"/>
    </row>
    <row r="73" spans="1:7" ht="21" customHeight="1">
      <c r="A73" s="51" t="s">
        <v>50</v>
      </c>
      <c r="B73" s="16" t="s">
        <v>51</v>
      </c>
      <c r="C73" s="33">
        <f t="shared" si="4"/>
        <v>19700</v>
      </c>
      <c r="D73" s="33">
        <f>SUM(D74)</f>
        <v>19700</v>
      </c>
      <c r="E73" s="33">
        <f>SUM(E74)</f>
        <v>0</v>
      </c>
      <c r="F73" s="149"/>
      <c r="G73" s="107"/>
    </row>
    <row r="74" spans="1:7" ht="12.75">
      <c r="A74" s="54"/>
      <c r="B74" s="18" t="s">
        <v>29</v>
      </c>
      <c r="C74" s="35">
        <f t="shared" si="4"/>
        <v>19700</v>
      </c>
      <c r="D74" s="35">
        <f>20000-300</f>
        <v>19700</v>
      </c>
      <c r="E74" s="35">
        <v>0</v>
      </c>
      <c r="F74" s="149"/>
      <c r="G74" s="107"/>
    </row>
    <row r="75" spans="1:15" ht="13.5" customHeight="1">
      <c r="A75" s="56" t="s">
        <v>52</v>
      </c>
      <c r="B75" s="17" t="s">
        <v>53</v>
      </c>
      <c r="C75" s="34">
        <f t="shared" si="4"/>
        <v>104300</v>
      </c>
      <c r="D75" s="34">
        <f>SUM(D76)</f>
        <v>88600</v>
      </c>
      <c r="E75" s="34">
        <f>SUM(E76)</f>
        <v>15700</v>
      </c>
      <c r="F75" s="149"/>
      <c r="G75" s="107"/>
      <c r="I75" s="1"/>
      <c r="K75" s="1"/>
      <c r="M75" s="1"/>
      <c r="O75" s="1"/>
    </row>
    <row r="76" spans="1:13" ht="12.75">
      <c r="A76" s="54"/>
      <c r="B76" s="18" t="s">
        <v>29</v>
      </c>
      <c r="C76" s="35">
        <f t="shared" si="4"/>
        <v>104300</v>
      </c>
      <c r="D76" s="35">
        <f>90000-1400</f>
        <v>88600</v>
      </c>
      <c r="E76" s="35">
        <f>16000-300</f>
        <v>15700</v>
      </c>
      <c r="F76" s="149"/>
      <c r="G76" s="107"/>
      <c r="I76" s="1"/>
      <c r="M76" s="1"/>
    </row>
    <row r="77" spans="1:7" ht="12.75">
      <c r="A77" s="56" t="s">
        <v>55</v>
      </c>
      <c r="B77" s="17" t="s">
        <v>56</v>
      </c>
      <c r="C77" s="34">
        <f t="shared" si="4"/>
        <v>118200</v>
      </c>
      <c r="D77" s="34">
        <f>SUM(D78)</f>
        <v>118200</v>
      </c>
      <c r="E77" s="34">
        <f>SUM(E78)</f>
        <v>0</v>
      </c>
      <c r="F77" s="149"/>
      <c r="G77" s="107"/>
    </row>
    <row r="78" spans="1:7" ht="12.75">
      <c r="A78" s="54"/>
      <c r="B78" s="18" t="s">
        <v>29</v>
      </c>
      <c r="C78" s="35">
        <f t="shared" si="4"/>
        <v>118200</v>
      </c>
      <c r="D78" s="35">
        <f>120000-1800</f>
        <v>118200</v>
      </c>
      <c r="E78" s="35">
        <v>0</v>
      </c>
      <c r="F78" s="149"/>
      <c r="G78" s="107"/>
    </row>
    <row r="79" spans="1:7" ht="12.75">
      <c r="A79" s="56" t="s">
        <v>259</v>
      </c>
      <c r="B79" s="17" t="s">
        <v>10</v>
      </c>
      <c r="C79" s="34">
        <f t="shared" si="4"/>
        <v>9800</v>
      </c>
      <c r="D79" s="34">
        <f>SUM(D80,)</f>
        <v>0</v>
      </c>
      <c r="E79" s="34">
        <f>SUM(E80,)</f>
        <v>9800</v>
      </c>
      <c r="F79" s="149"/>
      <c r="G79" s="107"/>
    </row>
    <row r="80" spans="1:7" ht="11.25" customHeight="1">
      <c r="A80" s="56"/>
      <c r="B80" s="17" t="s">
        <v>307</v>
      </c>
      <c r="C80" s="34">
        <f t="shared" si="4"/>
        <v>9800</v>
      </c>
      <c r="D80" s="34">
        <v>0</v>
      </c>
      <c r="E80" s="34">
        <v>9800</v>
      </c>
      <c r="F80" s="149"/>
      <c r="G80" s="107"/>
    </row>
    <row r="81" spans="1:7" ht="12.75">
      <c r="A81" s="57" t="s">
        <v>57</v>
      </c>
      <c r="B81" s="15" t="s">
        <v>58</v>
      </c>
      <c r="C81" s="42">
        <f t="shared" si="4"/>
        <v>27351650</v>
      </c>
      <c r="D81" s="42">
        <f>SUM(D82,D86,D90,D94,D103,D99)</f>
        <v>25106650</v>
      </c>
      <c r="E81" s="42">
        <f>SUM(E82,E86,E90,E94,E103,E99)</f>
        <v>2245000</v>
      </c>
      <c r="F81" s="149"/>
      <c r="G81" s="107"/>
    </row>
    <row r="82" spans="1:7" ht="12.75">
      <c r="A82" s="56" t="s">
        <v>59</v>
      </c>
      <c r="B82" s="17" t="s">
        <v>60</v>
      </c>
      <c r="C82" s="34">
        <f t="shared" si="4"/>
        <v>1048900</v>
      </c>
      <c r="D82" s="34">
        <f>SUM(D83)</f>
        <v>1048900</v>
      </c>
      <c r="E82" s="34">
        <f>SUM(E83)</f>
        <v>0</v>
      </c>
      <c r="F82" s="149"/>
      <c r="G82" s="107"/>
    </row>
    <row r="83" spans="1:7" ht="12.75">
      <c r="A83" s="56"/>
      <c r="B83" s="17" t="s">
        <v>15</v>
      </c>
      <c r="C83" s="34">
        <f t="shared" si="4"/>
        <v>1048900</v>
      </c>
      <c r="D83" s="34">
        <f>1064900-16000</f>
        <v>1048900</v>
      </c>
      <c r="E83" s="34">
        <v>0</v>
      </c>
      <c r="F83" s="149"/>
      <c r="G83" s="107"/>
    </row>
    <row r="84" spans="1:7" ht="9" customHeight="1">
      <c r="A84" s="56"/>
      <c r="B84" s="17" t="s">
        <v>7</v>
      </c>
      <c r="C84" s="34"/>
      <c r="D84" s="34"/>
      <c r="E84" s="34"/>
      <c r="F84" s="149"/>
      <c r="G84" s="107"/>
    </row>
    <row r="85" spans="1:7" ht="11.25" customHeight="1">
      <c r="A85" s="54"/>
      <c r="B85" s="18" t="s">
        <v>110</v>
      </c>
      <c r="C85" s="35">
        <f>SUM(D85,E85)</f>
        <v>1031500</v>
      </c>
      <c r="D85" s="35">
        <f>1047200-15700</f>
        <v>1031500</v>
      </c>
      <c r="E85" s="35">
        <v>0</v>
      </c>
      <c r="F85" s="149"/>
      <c r="G85" s="107"/>
    </row>
    <row r="86" spans="1:7" ht="12.75">
      <c r="A86" s="51" t="s">
        <v>62</v>
      </c>
      <c r="B86" s="16" t="s">
        <v>63</v>
      </c>
      <c r="C86" s="33">
        <f>SUM(D86,E86)</f>
        <v>2610400</v>
      </c>
      <c r="D86" s="33">
        <f>SUM(D87)</f>
        <v>365400</v>
      </c>
      <c r="E86" s="33">
        <f>SUM(E87)</f>
        <v>2245000</v>
      </c>
      <c r="F86" s="149"/>
      <c r="G86" s="107"/>
    </row>
    <row r="87" spans="1:7" ht="12.75">
      <c r="A87" s="56"/>
      <c r="B87" s="17" t="s">
        <v>250</v>
      </c>
      <c r="C87" s="34">
        <f>SUM(D87,E87)</f>
        <v>2610400</v>
      </c>
      <c r="D87" s="34">
        <v>365400</v>
      </c>
      <c r="E87" s="34">
        <v>2245000</v>
      </c>
      <c r="F87" s="149"/>
      <c r="G87" s="107"/>
    </row>
    <row r="88" spans="1:7" ht="9" customHeight="1">
      <c r="A88" s="52"/>
      <c r="B88" s="17" t="s">
        <v>7</v>
      </c>
      <c r="C88" s="38"/>
      <c r="D88" s="34"/>
      <c r="E88" s="34"/>
      <c r="F88" s="149"/>
      <c r="G88" s="107"/>
    </row>
    <row r="89" spans="1:7" ht="9.75" customHeight="1">
      <c r="A89" s="53"/>
      <c r="B89" s="18" t="s">
        <v>110</v>
      </c>
      <c r="C89" s="35">
        <f>SUM(D89,E89)</f>
        <v>1111350</v>
      </c>
      <c r="D89" s="35">
        <v>358500</v>
      </c>
      <c r="E89" s="34">
        <v>752850</v>
      </c>
      <c r="F89" s="149"/>
      <c r="G89" s="107"/>
    </row>
    <row r="90" spans="1:7" ht="12" customHeight="1">
      <c r="A90" s="56" t="s">
        <v>64</v>
      </c>
      <c r="B90" s="17" t="s">
        <v>65</v>
      </c>
      <c r="C90" s="46">
        <f>SUM(D90,E90)</f>
        <v>667500</v>
      </c>
      <c r="D90" s="46">
        <f>SUM(D91)</f>
        <v>667500</v>
      </c>
      <c r="E90" s="44">
        <f>SUM(E91)</f>
        <v>0</v>
      </c>
      <c r="F90" s="149"/>
      <c r="G90" s="107"/>
    </row>
    <row r="91" spans="1:7" ht="12.75">
      <c r="A91" s="52"/>
      <c r="B91" s="17" t="s">
        <v>297</v>
      </c>
      <c r="C91" s="34">
        <f>SUM(D91,E91)</f>
        <v>667500</v>
      </c>
      <c r="D91" s="34">
        <f>677700-10200</f>
        <v>667500</v>
      </c>
      <c r="E91" s="34">
        <v>0</v>
      </c>
      <c r="F91" s="149"/>
      <c r="G91" s="107"/>
    </row>
    <row r="92" spans="1:7" ht="9.75" customHeight="1">
      <c r="A92" s="52"/>
      <c r="B92" s="17" t="s">
        <v>7</v>
      </c>
      <c r="C92" s="34"/>
      <c r="D92" s="34"/>
      <c r="E92" s="34"/>
      <c r="F92" s="149"/>
      <c r="G92" s="107"/>
    </row>
    <row r="93" spans="1:7" ht="9.75" customHeight="1">
      <c r="A93" s="52"/>
      <c r="B93" s="17" t="s">
        <v>110</v>
      </c>
      <c r="C93" s="35">
        <f>SUM(D93,E93)</f>
        <v>7600</v>
      </c>
      <c r="D93" s="34">
        <f>7700-100</f>
        <v>7600</v>
      </c>
      <c r="E93" s="35">
        <v>0</v>
      </c>
      <c r="F93" s="149"/>
      <c r="G93" s="107"/>
    </row>
    <row r="94" spans="1:7" ht="14.25" customHeight="1">
      <c r="A94" s="51" t="s">
        <v>66</v>
      </c>
      <c r="B94" s="16" t="s">
        <v>67</v>
      </c>
      <c r="C94" s="41">
        <f>SUM(D94,E94)</f>
        <v>21762950</v>
      </c>
      <c r="D94" s="41">
        <f>SUM(D95,D98)</f>
        <v>21762950</v>
      </c>
      <c r="E94" s="41">
        <f>SUM(E95)</f>
        <v>0</v>
      </c>
      <c r="F94" s="149"/>
      <c r="G94" s="107"/>
    </row>
    <row r="95" spans="1:7" ht="12.75">
      <c r="A95" s="52"/>
      <c r="B95" s="17" t="s">
        <v>15</v>
      </c>
      <c r="C95" s="40">
        <f>SUM(D95,E95)</f>
        <v>21231950</v>
      </c>
      <c r="D95" s="97">
        <v>21231950</v>
      </c>
      <c r="E95" s="34">
        <v>0</v>
      </c>
      <c r="F95" s="149"/>
      <c r="G95" s="107"/>
    </row>
    <row r="96" spans="1:7" ht="9.75" customHeight="1">
      <c r="A96" s="52"/>
      <c r="B96" s="17" t="s">
        <v>7</v>
      </c>
      <c r="C96" s="77"/>
      <c r="D96" s="34"/>
      <c r="E96" s="34"/>
      <c r="F96" s="149"/>
      <c r="G96" s="107"/>
    </row>
    <row r="97" spans="1:7" ht="12.75">
      <c r="A97" s="52"/>
      <c r="B97" s="17" t="s">
        <v>110</v>
      </c>
      <c r="C97" s="40">
        <f>SUM(D97,E97)</f>
        <v>17419700</v>
      </c>
      <c r="D97" s="34">
        <v>17419700</v>
      </c>
      <c r="E97" s="34">
        <v>0</v>
      </c>
      <c r="F97" s="149"/>
      <c r="G97" s="107"/>
    </row>
    <row r="98" spans="1:8" s="3" customFormat="1" ht="9.75" customHeight="1">
      <c r="A98" s="54"/>
      <c r="B98" s="18" t="s">
        <v>22</v>
      </c>
      <c r="C98" s="35">
        <f>SUM(D98,E98)</f>
        <v>531000</v>
      </c>
      <c r="D98" s="35">
        <f>455000+76000</f>
        <v>531000</v>
      </c>
      <c r="E98" s="35">
        <v>0</v>
      </c>
      <c r="F98" s="148"/>
      <c r="G98" s="107"/>
      <c r="H98" s="6"/>
    </row>
    <row r="99" spans="1:8" s="3" customFormat="1" ht="12" customHeight="1">
      <c r="A99" s="56" t="s">
        <v>260</v>
      </c>
      <c r="B99" s="17" t="s">
        <v>261</v>
      </c>
      <c r="C99" s="68">
        <f>SUM(D99,E99)</f>
        <v>983200</v>
      </c>
      <c r="D99" s="69">
        <f>SUM(D100)</f>
        <v>983200</v>
      </c>
      <c r="E99" s="34">
        <v>0</v>
      </c>
      <c r="F99" s="148"/>
      <c r="G99" s="107"/>
      <c r="H99" s="6"/>
    </row>
    <row r="100" spans="1:8" s="3" customFormat="1" ht="12.75" customHeight="1">
      <c r="A100" s="56"/>
      <c r="B100" s="17" t="s">
        <v>311</v>
      </c>
      <c r="C100" s="40">
        <f>SUM(D100,E100)</f>
        <v>983200</v>
      </c>
      <c r="D100" s="34">
        <f>773200+210000</f>
        <v>983200</v>
      </c>
      <c r="E100" s="34">
        <v>0</v>
      </c>
      <c r="F100" s="148"/>
      <c r="G100" s="107"/>
      <c r="H100" s="6"/>
    </row>
    <row r="101" spans="1:8" s="3" customFormat="1" ht="10.5" customHeight="1">
      <c r="A101" s="56"/>
      <c r="B101" s="17" t="s">
        <v>7</v>
      </c>
      <c r="C101" s="38"/>
      <c r="D101" s="34"/>
      <c r="E101" s="34"/>
      <c r="F101" s="148"/>
      <c r="G101" s="107"/>
      <c r="H101" s="6"/>
    </row>
    <row r="102" spans="1:8" s="3" customFormat="1" ht="9.75" customHeight="1">
      <c r="A102" s="54"/>
      <c r="B102" s="18" t="s">
        <v>110</v>
      </c>
      <c r="C102" s="35">
        <f>SUM(D102,E102)</f>
        <v>34500</v>
      </c>
      <c r="D102" s="35">
        <f>35000-500</f>
        <v>34500</v>
      </c>
      <c r="E102" s="35">
        <v>0</v>
      </c>
      <c r="F102" s="148"/>
      <c r="G102" s="107"/>
      <c r="H102" s="6"/>
    </row>
    <row r="103" spans="1:7" ht="12" customHeight="1">
      <c r="A103" s="56" t="s">
        <v>68</v>
      </c>
      <c r="B103" s="17" t="s">
        <v>10</v>
      </c>
      <c r="C103" s="68">
        <f>SUM(D103,E103)</f>
        <v>278700</v>
      </c>
      <c r="D103" s="34">
        <f>SUM(D104)</f>
        <v>278700</v>
      </c>
      <c r="E103" s="34">
        <f>SUM(E104)</f>
        <v>0</v>
      </c>
      <c r="F103" s="149"/>
      <c r="G103" s="107"/>
    </row>
    <row r="104" spans="1:7" ht="11.25" customHeight="1">
      <c r="A104" s="56"/>
      <c r="B104" s="17" t="s">
        <v>15</v>
      </c>
      <c r="C104" s="40">
        <f>SUM(D104,E104)</f>
        <v>278700</v>
      </c>
      <c r="D104" s="34">
        <v>278700</v>
      </c>
      <c r="E104" s="34">
        <v>0</v>
      </c>
      <c r="F104" s="149"/>
      <c r="G104" s="107"/>
    </row>
    <row r="105" spans="1:7" ht="9" customHeight="1">
      <c r="A105" s="56"/>
      <c r="B105" s="17" t="s">
        <v>7</v>
      </c>
      <c r="C105" s="34"/>
      <c r="D105" s="34"/>
      <c r="E105" s="34"/>
      <c r="F105" s="149"/>
      <c r="G105" s="107"/>
    </row>
    <row r="106" spans="1:7" ht="11.25" customHeight="1">
      <c r="A106" s="54"/>
      <c r="B106" s="18" t="s">
        <v>110</v>
      </c>
      <c r="C106" s="35">
        <f>SUM(D106,E106)</f>
        <v>27600</v>
      </c>
      <c r="D106" s="35">
        <f>28000-400</f>
        <v>27600</v>
      </c>
      <c r="E106" s="35">
        <v>0</v>
      </c>
      <c r="F106" s="149"/>
      <c r="G106" s="107"/>
    </row>
    <row r="107" spans="1:7" ht="18.75" customHeight="1">
      <c r="A107" s="57" t="s">
        <v>69</v>
      </c>
      <c r="B107" s="15" t="s">
        <v>70</v>
      </c>
      <c r="C107" s="42">
        <f>SUM(D107,E107)</f>
        <v>4637000</v>
      </c>
      <c r="D107" s="42">
        <f>SUM(D108,D117,D120,D125,D129,D131,D137,D113,D135)</f>
        <v>4619500</v>
      </c>
      <c r="E107" s="42">
        <f>SUM(E108,E117,E120,E125,E129,E131,E137)</f>
        <v>17500</v>
      </c>
      <c r="F107" s="149"/>
      <c r="G107" s="107"/>
    </row>
    <row r="108" spans="1:8" s="3" customFormat="1" ht="12.75">
      <c r="A108" s="56" t="s">
        <v>71</v>
      </c>
      <c r="B108" s="17" t="s">
        <v>72</v>
      </c>
      <c r="C108" s="34">
        <f>SUM(D108,E108)</f>
        <v>1272000</v>
      </c>
      <c r="D108" s="34">
        <f>SUM(D109,D112)</f>
        <v>1272000</v>
      </c>
      <c r="E108" s="34">
        <v>0</v>
      </c>
      <c r="F108" s="148"/>
      <c r="G108" s="107"/>
      <c r="H108" s="6"/>
    </row>
    <row r="109" spans="1:8" s="3" customFormat="1" ht="10.5" customHeight="1">
      <c r="A109" s="56"/>
      <c r="B109" s="17" t="s">
        <v>15</v>
      </c>
      <c r="C109" s="34">
        <f>SUM(D109,E109)</f>
        <v>772000</v>
      </c>
      <c r="D109" s="34">
        <f>386000+400000-14000</f>
        <v>772000</v>
      </c>
      <c r="E109" s="34">
        <v>0</v>
      </c>
      <c r="F109" s="148"/>
      <c r="G109" s="107"/>
      <c r="H109" s="6"/>
    </row>
    <row r="110" spans="1:8" s="3" customFormat="1" ht="9" customHeight="1">
      <c r="A110" s="56"/>
      <c r="B110" s="17" t="s">
        <v>7</v>
      </c>
      <c r="C110" s="34"/>
      <c r="D110" s="34"/>
      <c r="E110" s="34"/>
      <c r="F110" s="150"/>
      <c r="G110" s="107"/>
      <c r="H110" s="6"/>
    </row>
    <row r="111" spans="1:8" s="3" customFormat="1" ht="10.5" customHeight="1">
      <c r="A111" s="56"/>
      <c r="B111" s="17" t="s">
        <v>8</v>
      </c>
      <c r="C111" s="34">
        <f>SUM(D111,E111)</f>
        <v>772000</v>
      </c>
      <c r="D111" s="34">
        <f>386000+400000-14000</f>
        <v>772000</v>
      </c>
      <c r="E111" s="34">
        <v>0</v>
      </c>
      <c r="F111" s="148"/>
      <c r="G111" s="107"/>
      <c r="H111" s="6"/>
    </row>
    <row r="112" spans="1:8" s="3" customFormat="1" ht="10.5" customHeight="1">
      <c r="A112" s="54"/>
      <c r="B112" s="18" t="s">
        <v>22</v>
      </c>
      <c r="C112" s="35">
        <f>SUM(D112,E112)</f>
        <v>500000</v>
      </c>
      <c r="D112" s="35">
        <v>500000</v>
      </c>
      <c r="E112" s="35">
        <v>0</v>
      </c>
      <c r="F112" s="148"/>
      <c r="G112" s="107"/>
      <c r="H112" s="6"/>
    </row>
    <row r="113" spans="1:8" s="3" customFormat="1" ht="11.25" customHeight="1">
      <c r="A113" s="56" t="s">
        <v>303</v>
      </c>
      <c r="B113" s="17" t="s">
        <v>304</v>
      </c>
      <c r="C113" s="34">
        <f>SUM(D113,E113)</f>
        <v>18000</v>
      </c>
      <c r="D113" s="34">
        <f>SUM(D114)</f>
        <v>18000</v>
      </c>
      <c r="E113" s="34">
        <f>SUM(E114)</f>
        <v>0</v>
      </c>
      <c r="F113" s="148"/>
      <c r="G113" s="107"/>
      <c r="H113" s="6"/>
    </row>
    <row r="114" spans="1:8" s="3" customFormat="1" ht="10.5" customHeight="1">
      <c r="A114" s="56"/>
      <c r="B114" s="17" t="s">
        <v>29</v>
      </c>
      <c r="C114" s="34">
        <f>SUM(D114,E114)</f>
        <v>18000</v>
      </c>
      <c r="D114" s="34">
        <f>28000-10000</f>
        <v>18000</v>
      </c>
      <c r="E114" s="34">
        <v>0</v>
      </c>
      <c r="F114" s="148"/>
      <c r="G114" s="107"/>
      <c r="H114" s="6"/>
    </row>
    <row r="115" spans="1:8" s="3" customFormat="1" ht="9.75" customHeight="1">
      <c r="A115" s="56"/>
      <c r="B115" s="17" t="s">
        <v>7</v>
      </c>
      <c r="C115" s="34"/>
      <c r="D115" s="34"/>
      <c r="E115" s="34"/>
      <c r="F115" s="148"/>
      <c r="G115" s="107"/>
      <c r="H115" s="6"/>
    </row>
    <row r="116" spans="1:8" s="3" customFormat="1" ht="10.5" customHeight="1">
      <c r="A116" s="54"/>
      <c r="B116" s="18" t="s">
        <v>8</v>
      </c>
      <c r="C116" s="35">
        <f aca="true" t="shared" si="5" ref="C116:C121">SUM(D116,E116)</f>
        <v>18000</v>
      </c>
      <c r="D116" s="35">
        <f>28000-10000</f>
        <v>18000</v>
      </c>
      <c r="E116" s="35">
        <v>0</v>
      </c>
      <c r="F116" s="148"/>
      <c r="G116" s="107"/>
      <c r="H116" s="6"/>
    </row>
    <row r="117" spans="1:8" s="3" customFormat="1" ht="10.5" customHeight="1">
      <c r="A117" s="56" t="s">
        <v>73</v>
      </c>
      <c r="B117" s="17" t="s">
        <v>281</v>
      </c>
      <c r="C117" s="34">
        <f t="shared" si="5"/>
        <v>12500</v>
      </c>
      <c r="D117" s="34">
        <f>SUM(D118)</f>
        <v>0</v>
      </c>
      <c r="E117" s="34">
        <f>SUM(E118,E119)</f>
        <v>12500</v>
      </c>
      <c r="F117" s="148"/>
      <c r="G117" s="107"/>
      <c r="H117" s="6"/>
    </row>
    <row r="118" spans="1:8" s="3" customFormat="1" ht="12.75">
      <c r="A118" s="56"/>
      <c r="B118" s="17" t="s">
        <v>15</v>
      </c>
      <c r="C118" s="34">
        <f t="shared" si="5"/>
        <v>12500</v>
      </c>
      <c r="D118" s="34">
        <v>0</v>
      </c>
      <c r="E118" s="34">
        <v>12500</v>
      </c>
      <c r="F118" s="148"/>
      <c r="G118" s="107"/>
      <c r="H118" s="6"/>
    </row>
    <row r="119" spans="1:8" s="3" customFormat="1" ht="12.75">
      <c r="A119" s="56"/>
      <c r="B119" s="17" t="s">
        <v>22</v>
      </c>
      <c r="C119" s="34">
        <f t="shared" si="5"/>
        <v>0</v>
      </c>
      <c r="D119" s="34">
        <v>0</v>
      </c>
      <c r="E119" s="34">
        <v>0</v>
      </c>
      <c r="F119" s="148"/>
      <c r="G119" s="107"/>
      <c r="H119" s="6"/>
    </row>
    <row r="120" spans="1:7" ht="12.75">
      <c r="A120" s="51" t="s">
        <v>74</v>
      </c>
      <c r="B120" s="16" t="s">
        <v>75</v>
      </c>
      <c r="C120" s="33">
        <f t="shared" si="5"/>
        <v>158800</v>
      </c>
      <c r="D120" s="33">
        <f>SUM(D121,)</f>
        <v>158800</v>
      </c>
      <c r="E120" s="33">
        <f>SUM(E121)</f>
        <v>0</v>
      </c>
      <c r="F120" s="149"/>
      <c r="G120" s="107"/>
    </row>
    <row r="121" spans="1:7" ht="12.75">
      <c r="A121" s="56"/>
      <c r="B121" s="17" t="s">
        <v>15</v>
      </c>
      <c r="C121" s="34">
        <f t="shared" si="5"/>
        <v>158800</v>
      </c>
      <c r="D121" s="34">
        <f>161200-2400</f>
        <v>158800</v>
      </c>
      <c r="E121" s="34">
        <v>0</v>
      </c>
      <c r="F121" s="149"/>
      <c r="G121" s="107"/>
    </row>
    <row r="122" spans="1:7" ht="9.75" customHeight="1">
      <c r="A122" s="56"/>
      <c r="B122" s="17" t="s">
        <v>7</v>
      </c>
      <c r="C122" s="34"/>
      <c r="D122" s="34"/>
      <c r="E122" s="34"/>
      <c r="F122" s="149"/>
      <c r="G122" s="107"/>
    </row>
    <row r="123" spans="1:7" ht="12.75">
      <c r="A123" s="56"/>
      <c r="B123" s="17" t="s">
        <v>110</v>
      </c>
      <c r="C123" s="34">
        <f>SUM(D123,E123)</f>
        <v>7900</v>
      </c>
      <c r="D123" s="34">
        <f>8000-100</f>
        <v>7900</v>
      </c>
      <c r="E123" s="34">
        <v>0</v>
      </c>
      <c r="F123" s="149"/>
      <c r="G123" s="107"/>
    </row>
    <row r="124" spans="1:7" ht="11.25" customHeight="1">
      <c r="A124" s="56"/>
      <c r="B124" s="17" t="s">
        <v>8</v>
      </c>
      <c r="C124" s="34">
        <f>SUM(D124,E124)</f>
        <v>101500</v>
      </c>
      <c r="D124" s="34">
        <f>103000-1500</f>
        <v>101500</v>
      </c>
      <c r="E124" s="34">
        <v>0</v>
      </c>
      <c r="F124" s="149"/>
      <c r="G124" s="107"/>
    </row>
    <row r="125" spans="1:7" ht="12.75">
      <c r="A125" s="51" t="s">
        <v>76</v>
      </c>
      <c r="B125" s="16" t="s">
        <v>77</v>
      </c>
      <c r="C125" s="33">
        <f>SUM(D125,E125)</f>
        <v>38500</v>
      </c>
      <c r="D125" s="33">
        <f>SUM(D126)</f>
        <v>38500</v>
      </c>
      <c r="E125" s="33">
        <f>SUM(E126)</f>
        <v>0</v>
      </c>
      <c r="F125" s="149"/>
      <c r="G125" s="107"/>
    </row>
    <row r="126" spans="1:7" ht="12.75">
      <c r="A126" s="56"/>
      <c r="B126" s="17" t="s">
        <v>29</v>
      </c>
      <c r="C126" s="34">
        <f>SUM(D126,E126)</f>
        <v>38500</v>
      </c>
      <c r="D126" s="34">
        <f>39100-600</f>
        <v>38500</v>
      </c>
      <c r="E126" s="34">
        <v>0</v>
      </c>
      <c r="F126" s="149"/>
      <c r="G126" s="107"/>
    </row>
    <row r="127" spans="1:7" ht="9.75" customHeight="1">
      <c r="A127" s="56"/>
      <c r="B127" s="17" t="s">
        <v>7</v>
      </c>
      <c r="C127" s="34"/>
      <c r="D127" s="34"/>
      <c r="E127" s="34"/>
      <c r="F127" s="149"/>
      <c r="G127" s="107"/>
    </row>
    <row r="128" spans="1:7" ht="12.75">
      <c r="A128" s="54"/>
      <c r="B128" s="18" t="s">
        <v>110</v>
      </c>
      <c r="C128" s="35">
        <f>SUM(D128,E128)</f>
        <v>3400</v>
      </c>
      <c r="D128" s="35">
        <f>3500-100</f>
        <v>3400</v>
      </c>
      <c r="E128" s="35">
        <v>0</v>
      </c>
      <c r="F128" s="149"/>
      <c r="G128" s="107"/>
    </row>
    <row r="129" spans="1:7" ht="12" customHeight="1">
      <c r="A129" s="56" t="s">
        <v>78</v>
      </c>
      <c r="B129" s="17" t="s">
        <v>79</v>
      </c>
      <c r="C129" s="34">
        <f>SUM(D129,E129)</f>
        <v>19700</v>
      </c>
      <c r="D129" s="34">
        <f>SUM(D130)</f>
        <v>19700</v>
      </c>
      <c r="E129" s="34">
        <f>SUM(E130)</f>
        <v>0</v>
      </c>
      <c r="F129" s="149"/>
      <c r="G129" s="107"/>
    </row>
    <row r="130" spans="1:7" ht="12.75">
      <c r="A130" s="54"/>
      <c r="B130" s="18" t="s">
        <v>29</v>
      </c>
      <c r="C130" s="35">
        <f>SUM(D130,E130)</f>
        <v>19700</v>
      </c>
      <c r="D130" s="35">
        <f>20000-300</f>
        <v>19700</v>
      </c>
      <c r="E130" s="35">
        <v>0</v>
      </c>
      <c r="F130" s="149"/>
      <c r="G130" s="107"/>
    </row>
    <row r="131" spans="1:7" ht="12.75">
      <c r="A131" s="56" t="s">
        <v>80</v>
      </c>
      <c r="B131" s="17" t="s">
        <v>81</v>
      </c>
      <c r="C131" s="34">
        <f>SUM(D131,E131)</f>
        <v>2893000</v>
      </c>
      <c r="D131" s="34">
        <f>SUM(D132)</f>
        <v>2893000</v>
      </c>
      <c r="E131" s="34">
        <f>SUM(E132)</f>
        <v>0</v>
      </c>
      <c r="F131" s="149"/>
      <c r="G131" s="107"/>
    </row>
    <row r="132" spans="1:7" ht="12.75">
      <c r="A132" s="56"/>
      <c r="B132" s="17" t="s">
        <v>15</v>
      </c>
      <c r="C132" s="34">
        <f>SUM(D132,E132)</f>
        <v>2893000</v>
      </c>
      <c r="D132" s="34">
        <f>2937770-44770</f>
        <v>2893000</v>
      </c>
      <c r="E132" s="34">
        <v>0</v>
      </c>
      <c r="F132" s="149"/>
      <c r="G132" s="107"/>
    </row>
    <row r="133" spans="1:7" ht="9" customHeight="1">
      <c r="A133" s="56"/>
      <c r="B133" s="17" t="s">
        <v>7</v>
      </c>
      <c r="C133" s="34"/>
      <c r="D133" s="34"/>
      <c r="E133" s="34"/>
      <c r="F133" s="149"/>
      <c r="G133" s="107"/>
    </row>
    <row r="134" spans="1:7" ht="11.25" customHeight="1">
      <c r="A134" s="56"/>
      <c r="B134" s="17" t="s">
        <v>110</v>
      </c>
      <c r="C134" s="35">
        <f>SUM(D134,E134)</f>
        <v>2484000</v>
      </c>
      <c r="D134" s="34">
        <f>2521930-37930</f>
        <v>2484000</v>
      </c>
      <c r="E134" s="34">
        <v>0</v>
      </c>
      <c r="F134" s="149"/>
      <c r="G134" s="107"/>
    </row>
    <row r="135" spans="1:8" s="3" customFormat="1" ht="12.75">
      <c r="A135" s="51" t="s">
        <v>308</v>
      </c>
      <c r="B135" s="16" t="s">
        <v>309</v>
      </c>
      <c r="C135" s="33">
        <f>SUM(D135,E135)</f>
        <v>9200</v>
      </c>
      <c r="D135" s="33">
        <f>SUM(D136)</f>
        <v>9200</v>
      </c>
      <c r="E135" s="33">
        <f>SUM(E136)</f>
        <v>0</v>
      </c>
      <c r="F135" s="148"/>
      <c r="G135" s="107"/>
      <c r="H135" s="6"/>
    </row>
    <row r="136" spans="1:8" s="3" customFormat="1" ht="12.75">
      <c r="A136" s="54"/>
      <c r="B136" s="18" t="s">
        <v>328</v>
      </c>
      <c r="C136" s="35">
        <f>SUM(D136,E136)</f>
        <v>9200</v>
      </c>
      <c r="D136" s="35">
        <f>9400-200</f>
        <v>9200</v>
      </c>
      <c r="E136" s="35">
        <v>0</v>
      </c>
      <c r="F136" s="148"/>
      <c r="G136" s="107"/>
      <c r="H136" s="6"/>
    </row>
    <row r="137" spans="1:7" ht="12.75">
      <c r="A137" s="56" t="s">
        <v>82</v>
      </c>
      <c r="B137" s="17" t="s">
        <v>10</v>
      </c>
      <c r="C137" s="34">
        <f>SUM(D137,E137)</f>
        <v>215300</v>
      </c>
      <c r="D137" s="34">
        <f>SUM(D138,D142)</f>
        <v>210300</v>
      </c>
      <c r="E137" s="34">
        <f>SUM(E138,E142)</f>
        <v>5000</v>
      </c>
      <c r="F137" s="149"/>
      <c r="G137" s="107"/>
    </row>
    <row r="138" spans="1:7" ht="12.75">
      <c r="A138" s="56"/>
      <c r="B138" s="17" t="s">
        <v>310</v>
      </c>
      <c r="C138" s="34">
        <f>SUM(D138,E138)</f>
        <v>65300</v>
      </c>
      <c r="D138" s="34">
        <v>60300</v>
      </c>
      <c r="E138" s="34">
        <v>5000</v>
      </c>
      <c r="F138" s="149"/>
      <c r="G138" s="107"/>
    </row>
    <row r="139" spans="1:7" ht="9.75" customHeight="1">
      <c r="A139" s="52"/>
      <c r="B139" s="17" t="s">
        <v>7</v>
      </c>
      <c r="C139" s="38"/>
      <c r="D139" s="34"/>
      <c r="E139" s="34"/>
      <c r="F139" s="149"/>
      <c r="G139" s="107"/>
    </row>
    <row r="140" spans="1:7" ht="12" customHeight="1">
      <c r="A140" s="52"/>
      <c r="B140" s="17" t="s">
        <v>110</v>
      </c>
      <c r="C140" s="34">
        <f aca="true" t="shared" si="6" ref="C140:C145">SUM(D140,E140)</f>
        <v>500</v>
      </c>
      <c r="D140" s="34">
        <v>500</v>
      </c>
      <c r="E140" s="34">
        <v>0</v>
      </c>
      <c r="F140" s="149"/>
      <c r="G140" s="107"/>
    </row>
    <row r="141" spans="1:7" ht="12" customHeight="1">
      <c r="A141" s="52"/>
      <c r="B141" s="17" t="s">
        <v>8</v>
      </c>
      <c r="C141" s="34">
        <f t="shared" si="6"/>
        <v>5000</v>
      </c>
      <c r="D141" s="34">
        <v>0</v>
      </c>
      <c r="E141" s="34">
        <v>5000</v>
      </c>
      <c r="F141" s="149"/>
      <c r="G141" s="107"/>
    </row>
    <row r="142" spans="1:8" s="3" customFormat="1" ht="11.25" customHeight="1">
      <c r="A142" s="54"/>
      <c r="B142" s="18" t="s">
        <v>22</v>
      </c>
      <c r="C142" s="35">
        <f t="shared" si="6"/>
        <v>150000</v>
      </c>
      <c r="D142" s="35">
        <v>150000</v>
      </c>
      <c r="E142" s="35">
        <v>0</v>
      </c>
      <c r="F142" s="148"/>
      <c r="G142" s="107"/>
      <c r="H142" s="6"/>
    </row>
    <row r="143" spans="1:7" ht="30" customHeight="1">
      <c r="A143" s="57" t="s">
        <v>83</v>
      </c>
      <c r="B143" s="15" t="s">
        <v>286</v>
      </c>
      <c r="C143" s="42">
        <f t="shared" si="6"/>
        <v>823900</v>
      </c>
      <c r="D143" s="42">
        <f>SUM(D144)</f>
        <v>823900</v>
      </c>
      <c r="E143" s="42">
        <f>SUM(E144)</f>
        <v>0</v>
      </c>
      <c r="F143" s="149"/>
      <c r="G143" s="107"/>
    </row>
    <row r="144" spans="1:7" ht="20.25" customHeight="1">
      <c r="A144" s="56" t="s">
        <v>84</v>
      </c>
      <c r="B144" s="17" t="s">
        <v>85</v>
      </c>
      <c r="C144" s="69">
        <f t="shared" si="6"/>
        <v>823900</v>
      </c>
      <c r="D144" s="69">
        <f>SUM(D145)</f>
        <v>823900</v>
      </c>
      <c r="E144" s="69">
        <f>SUM(E145)</f>
        <v>0</v>
      </c>
      <c r="F144" s="149"/>
      <c r="G144" s="107"/>
    </row>
    <row r="145" spans="1:7" ht="11.25" customHeight="1">
      <c r="A145" s="52"/>
      <c r="B145" s="17" t="s">
        <v>275</v>
      </c>
      <c r="C145" s="34">
        <f t="shared" si="6"/>
        <v>823900</v>
      </c>
      <c r="D145" s="34">
        <v>823900</v>
      </c>
      <c r="E145" s="34">
        <v>0</v>
      </c>
      <c r="F145" s="149"/>
      <c r="G145" s="107"/>
    </row>
    <row r="146" spans="1:7" ht="10.5" customHeight="1">
      <c r="A146" s="52"/>
      <c r="B146" s="17" t="s">
        <v>7</v>
      </c>
      <c r="C146" s="34"/>
      <c r="D146" s="34"/>
      <c r="E146" s="34"/>
      <c r="F146" s="149"/>
      <c r="G146" s="107"/>
    </row>
    <row r="147" spans="1:7" ht="12.75">
      <c r="A147" s="53"/>
      <c r="B147" s="18" t="s">
        <v>110</v>
      </c>
      <c r="C147" s="35">
        <f>SUM(D147,E147)</f>
        <v>200000</v>
      </c>
      <c r="D147" s="35">
        <v>200000</v>
      </c>
      <c r="E147" s="35">
        <v>0</v>
      </c>
      <c r="F147" s="149"/>
      <c r="G147" s="107"/>
    </row>
    <row r="148" spans="1:7" ht="12.75">
      <c r="A148" s="57" t="s">
        <v>86</v>
      </c>
      <c r="B148" s="15" t="s">
        <v>87</v>
      </c>
      <c r="C148" s="36">
        <f>SUM(D148,E148)</f>
        <v>9223200</v>
      </c>
      <c r="D148" s="32">
        <f>SUM(D149,)</f>
        <v>6397350</v>
      </c>
      <c r="E148" s="32">
        <f>SUM(E149)</f>
        <v>2825850</v>
      </c>
      <c r="F148" s="149"/>
      <c r="G148" s="107"/>
    </row>
    <row r="149" spans="1:7" ht="19.5" customHeight="1">
      <c r="A149" s="56" t="s">
        <v>88</v>
      </c>
      <c r="B149" s="17" t="s">
        <v>299</v>
      </c>
      <c r="C149" s="34">
        <f>SUM(D149,E149)</f>
        <v>9223200</v>
      </c>
      <c r="D149" s="34">
        <f>SUM(D150)</f>
        <v>6397350</v>
      </c>
      <c r="E149" s="34">
        <f>SUM(E150)</f>
        <v>2825850</v>
      </c>
      <c r="F149" s="149"/>
      <c r="G149" s="107"/>
    </row>
    <row r="150" spans="1:7" ht="11.25" customHeight="1">
      <c r="A150" s="56"/>
      <c r="B150" s="17" t="s">
        <v>15</v>
      </c>
      <c r="C150" s="34">
        <f>SUM(D150,E150)</f>
        <v>9223200</v>
      </c>
      <c r="D150" s="34">
        <v>6397350</v>
      </c>
      <c r="E150" s="34">
        <v>2825850</v>
      </c>
      <c r="F150" s="149"/>
      <c r="G150" s="107"/>
    </row>
    <row r="151" spans="1:7" ht="9.75" customHeight="1">
      <c r="A151" s="56"/>
      <c r="B151" s="17" t="s">
        <v>7</v>
      </c>
      <c r="C151" s="34"/>
      <c r="D151" s="34"/>
      <c r="E151" s="34"/>
      <c r="F151" s="149"/>
      <c r="G151" s="107"/>
    </row>
    <row r="152" spans="1:7" ht="11.25" customHeight="1">
      <c r="A152" s="54"/>
      <c r="B152" s="18" t="s">
        <v>279</v>
      </c>
      <c r="C152" s="35">
        <f aca="true" t="shared" si="7" ref="C152:C158">SUM(D152,E152)</f>
        <v>9223200</v>
      </c>
      <c r="D152" s="35">
        <v>6397350</v>
      </c>
      <c r="E152" s="35">
        <v>2825850</v>
      </c>
      <c r="F152" s="149"/>
      <c r="G152" s="107"/>
    </row>
    <row r="153" spans="1:7" ht="12.75">
      <c r="A153" s="57" t="s">
        <v>89</v>
      </c>
      <c r="B153" s="15" t="s">
        <v>90</v>
      </c>
      <c r="C153" s="36">
        <f t="shared" si="7"/>
        <v>5025929</v>
      </c>
      <c r="D153" s="32">
        <f>SUM(D154,D157)</f>
        <v>3694684</v>
      </c>
      <c r="E153" s="32">
        <f>SUM(E154,E157)</f>
        <v>1331245</v>
      </c>
      <c r="F153" s="149"/>
      <c r="G153" s="107"/>
    </row>
    <row r="154" spans="1:9" ht="11.25" customHeight="1">
      <c r="A154" s="56" t="s">
        <v>91</v>
      </c>
      <c r="B154" s="17" t="s">
        <v>92</v>
      </c>
      <c r="C154" s="34">
        <f t="shared" si="7"/>
        <v>4855276</v>
      </c>
      <c r="D154" s="34">
        <f>SUM(D155,D156)</f>
        <v>3694684</v>
      </c>
      <c r="E154" s="34">
        <f>SUM(E155,E156)</f>
        <v>1160592</v>
      </c>
      <c r="F154" s="149"/>
      <c r="G154" s="107"/>
      <c r="I154" s="8"/>
    </row>
    <row r="155" spans="1:7" ht="10.5" customHeight="1">
      <c r="A155" s="56"/>
      <c r="B155" s="17" t="s">
        <v>15</v>
      </c>
      <c r="C155" s="34">
        <f t="shared" si="7"/>
        <v>4255276</v>
      </c>
      <c r="D155" s="34">
        <f>3428184-333500</f>
        <v>3094684</v>
      </c>
      <c r="E155" s="34">
        <v>1160592</v>
      </c>
      <c r="F155" s="149"/>
      <c r="G155" s="107"/>
    </row>
    <row r="156" spans="1:8" s="3" customFormat="1" ht="11.25" customHeight="1">
      <c r="A156" s="54"/>
      <c r="B156" s="18" t="s">
        <v>22</v>
      </c>
      <c r="C156" s="35">
        <f t="shared" si="7"/>
        <v>600000</v>
      </c>
      <c r="D156" s="35">
        <f>676000-76000</f>
        <v>600000</v>
      </c>
      <c r="E156" s="35">
        <v>0</v>
      </c>
      <c r="F156" s="148"/>
      <c r="G156" s="107"/>
      <c r="H156" s="6"/>
    </row>
    <row r="157" spans="1:8" s="94" customFormat="1" ht="10.5" customHeight="1">
      <c r="A157" s="51" t="s">
        <v>301</v>
      </c>
      <c r="B157" s="16" t="s">
        <v>300</v>
      </c>
      <c r="C157" s="43">
        <f t="shared" si="7"/>
        <v>170653</v>
      </c>
      <c r="D157" s="43">
        <f>SUM(D158)</f>
        <v>0</v>
      </c>
      <c r="E157" s="43">
        <f>SUM(E158)</f>
        <v>170653</v>
      </c>
      <c r="F157" s="148"/>
      <c r="G157" s="107"/>
      <c r="H157" s="95"/>
    </row>
    <row r="158" spans="1:8" s="94" customFormat="1" ht="12" customHeight="1">
      <c r="A158" s="56"/>
      <c r="B158" s="17" t="s">
        <v>15</v>
      </c>
      <c r="C158" s="34">
        <f t="shared" si="7"/>
        <v>170653</v>
      </c>
      <c r="D158" s="34">
        <v>0</v>
      </c>
      <c r="E158" s="34">
        <v>170653</v>
      </c>
      <c r="F158" s="148"/>
      <c r="G158" s="107"/>
      <c r="H158" s="95"/>
    </row>
    <row r="159" spans="1:8" s="94" customFormat="1" ht="9.75" customHeight="1">
      <c r="A159" s="56"/>
      <c r="B159" s="17" t="s">
        <v>7</v>
      </c>
      <c r="C159" s="34"/>
      <c r="D159" s="34"/>
      <c r="E159" s="34"/>
      <c r="F159" s="148"/>
      <c r="G159" s="107"/>
      <c r="H159" s="95"/>
    </row>
    <row r="160" spans="1:8" s="94" customFormat="1" ht="10.5" customHeight="1">
      <c r="A160" s="54"/>
      <c r="B160" s="18" t="s">
        <v>8</v>
      </c>
      <c r="C160" s="35">
        <f>SUM(D160,E160)</f>
        <v>170653</v>
      </c>
      <c r="D160" s="35">
        <v>0</v>
      </c>
      <c r="E160" s="35">
        <v>170653</v>
      </c>
      <c r="F160" s="148"/>
      <c r="G160" s="107"/>
      <c r="H160" s="95"/>
    </row>
    <row r="161" spans="1:11" s="3" customFormat="1" ht="12.75">
      <c r="A161" s="55" t="s">
        <v>93</v>
      </c>
      <c r="B161" s="19" t="s">
        <v>94</v>
      </c>
      <c r="C161" s="39">
        <f>SUM(D161,E161)</f>
        <v>141580768</v>
      </c>
      <c r="D161" s="39">
        <f>SUM(D162,D168,D176,D182,D187,D192,D194,D200,D208,D218,D222,D227,D235,D214,D172,D204,D231)</f>
        <v>80771703</v>
      </c>
      <c r="E161" s="39">
        <f>SUM(E162,E168,E176,E182,E187,E194,E200,E208,E218,E222,E227,E235,E192,E214,E204,E172)</f>
        <v>60809065</v>
      </c>
      <c r="F161" s="148"/>
      <c r="G161" s="107"/>
      <c r="H161" s="6"/>
      <c r="K161" s="6"/>
    </row>
    <row r="162" spans="1:8" s="3" customFormat="1" ht="12.75">
      <c r="A162" s="56" t="s">
        <v>95</v>
      </c>
      <c r="B162" s="17" t="s">
        <v>96</v>
      </c>
      <c r="C162" s="34">
        <f>SUM(D162,E162)</f>
        <v>35534597</v>
      </c>
      <c r="D162" s="34">
        <f>SUM(D163,D167)</f>
        <v>35534597</v>
      </c>
      <c r="E162" s="34">
        <f>SUM(E163,E167)</f>
        <v>0</v>
      </c>
      <c r="F162" s="148"/>
      <c r="G162" s="107"/>
      <c r="H162" s="6"/>
    </row>
    <row r="163" spans="1:8" s="3" customFormat="1" ht="10.5" customHeight="1">
      <c r="A163" s="52"/>
      <c r="B163" s="17" t="s">
        <v>29</v>
      </c>
      <c r="C163" s="34">
        <f>SUM(D163,E163)</f>
        <v>34134597</v>
      </c>
      <c r="D163" s="34">
        <f>34878800-506281-237922</f>
        <v>34134597</v>
      </c>
      <c r="E163" s="34">
        <v>0</v>
      </c>
      <c r="F163" s="148"/>
      <c r="G163" s="107"/>
      <c r="H163" s="6"/>
    </row>
    <row r="164" spans="1:8" s="3" customFormat="1" ht="9.75" customHeight="1">
      <c r="A164" s="52"/>
      <c r="B164" s="17" t="s">
        <v>7</v>
      </c>
      <c r="C164" s="34"/>
      <c r="D164" s="34"/>
      <c r="E164" s="34"/>
      <c r="F164" s="148"/>
      <c r="G164" s="107"/>
      <c r="H164" s="117"/>
    </row>
    <row r="165" spans="1:8" s="3" customFormat="1" ht="12" customHeight="1">
      <c r="A165" s="52"/>
      <c r="B165" s="17" t="s">
        <v>110</v>
      </c>
      <c r="C165" s="34">
        <f>SUM(D165,E165)</f>
        <v>28105769</v>
      </c>
      <c r="D165" s="34">
        <f>28738523-446724-186030</f>
        <v>28105769</v>
      </c>
      <c r="E165" s="34">
        <v>0</v>
      </c>
      <c r="F165" s="148"/>
      <c r="G165" s="107"/>
      <c r="H165" s="6"/>
    </row>
    <row r="166" spans="1:8" s="3" customFormat="1" ht="10.5" customHeight="1">
      <c r="A166" s="52"/>
      <c r="B166" s="17" t="s">
        <v>8</v>
      </c>
      <c r="C166" s="34">
        <f>SUM(D166,E166)</f>
        <v>858408</v>
      </c>
      <c r="D166" s="34">
        <f>917965-59557</f>
        <v>858408</v>
      </c>
      <c r="E166" s="34">
        <v>0</v>
      </c>
      <c r="F166" s="148"/>
      <c r="G166" s="107"/>
      <c r="H166" s="6"/>
    </row>
    <row r="167" spans="1:8" s="3" customFormat="1" ht="11.25" customHeight="1">
      <c r="A167" s="56"/>
      <c r="B167" s="17" t="s">
        <v>22</v>
      </c>
      <c r="C167" s="34">
        <f>SUM(D167,E167)</f>
        <v>1400000</v>
      </c>
      <c r="D167" s="34">
        <v>1400000</v>
      </c>
      <c r="E167" s="35">
        <v>0</v>
      </c>
      <c r="F167" s="148"/>
      <c r="G167" s="107"/>
      <c r="H167" s="117"/>
    </row>
    <row r="168" spans="1:7" ht="12" customHeight="1">
      <c r="A168" s="51" t="s">
        <v>97</v>
      </c>
      <c r="B168" s="16" t="s">
        <v>98</v>
      </c>
      <c r="C168" s="33">
        <f>SUM(D168,E168)</f>
        <v>4022958</v>
      </c>
      <c r="D168" s="33">
        <f>SUM(D169)</f>
        <v>0</v>
      </c>
      <c r="E168" s="33">
        <f>SUM(E169)</f>
        <v>4022958</v>
      </c>
      <c r="F168" s="149"/>
      <c r="G168" s="107"/>
    </row>
    <row r="169" spans="1:7" ht="10.5" customHeight="1">
      <c r="A169" s="52"/>
      <c r="B169" s="17" t="s">
        <v>302</v>
      </c>
      <c r="C169" s="34">
        <f>SUM(D169,E169)</f>
        <v>4022958</v>
      </c>
      <c r="D169" s="34">
        <v>0</v>
      </c>
      <c r="E169" s="34">
        <f>4184543-76413-85172</f>
        <v>4022958</v>
      </c>
      <c r="F169" s="149"/>
      <c r="G169" s="107"/>
    </row>
    <row r="170" spans="1:7" ht="9" customHeight="1">
      <c r="A170" s="52"/>
      <c r="B170" s="17" t="s">
        <v>7</v>
      </c>
      <c r="C170" s="34"/>
      <c r="D170" s="34"/>
      <c r="E170" s="34"/>
      <c r="F170" s="149"/>
      <c r="G170" s="107"/>
    </row>
    <row r="171" spans="1:7" ht="12" customHeight="1">
      <c r="A171" s="53"/>
      <c r="B171" s="18" t="s">
        <v>110</v>
      </c>
      <c r="C171" s="35">
        <f>SUM(D171,E171)</f>
        <v>3438317</v>
      </c>
      <c r="D171" s="35">
        <v>0</v>
      </c>
      <c r="E171" s="35">
        <f>3594093-76413-79363</f>
        <v>3438317</v>
      </c>
      <c r="F171" s="149"/>
      <c r="G171" s="107"/>
    </row>
    <row r="172" spans="1:7" ht="10.5" customHeight="1">
      <c r="A172" s="56" t="s">
        <v>262</v>
      </c>
      <c r="B172" s="17" t="s">
        <v>263</v>
      </c>
      <c r="C172" s="34">
        <f>SUM(D172,E172)</f>
        <v>1112260</v>
      </c>
      <c r="D172" s="34">
        <f>SUM(D173)</f>
        <v>1112260</v>
      </c>
      <c r="E172" s="34">
        <v>0</v>
      </c>
      <c r="F172" s="151"/>
      <c r="G172" s="107"/>
    </row>
    <row r="173" spans="1:7" ht="11.25" customHeight="1">
      <c r="A173" s="56"/>
      <c r="B173" s="17" t="s">
        <v>302</v>
      </c>
      <c r="C173" s="34">
        <f>SUM(D173,E173)</f>
        <v>1112260</v>
      </c>
      <c r="D173" s="34">
        <f>1140040-20376-7404</f>
        <v>1112260</v>
      </c>
      <c r="E173" s="34">
        <v>0</v>
      </c>
      <c r="F173" s="149"/>
      <c r="G173" s="107"/>
    </row>
    <row r="174" spans="1:7" ht="9" customHeight="1">
      <c r="A174" s="56"/>
      <c r="B174" s="17" t="s">
        <v>7</v>
      </c>
      <c r="C174" s="34"/>
      <c r="D174" s="34"/>
      <c r="E174" s="34"/>
      <c r="F174" s="149"/>
      <c r="G174" s="107"/>
    </row>
    <row r="175" spans="1:7" ht="12.75">
      <c r="A175" s="54"/>
      <c r="B175" s="18" t="s">
        <v>110</v>
      </c>
      <c r="C175" s="35">
        <f>SUM(D175,E175)</f>
        <v>1052850</v>
      </c>
      <c r="D175" s="35">
        <f>1080630-20376-7404</f>
        <v>1052850</v>
      </c>
      <c r="E175" s="35">
        <v>0</v>
      </c>
      <c r="F175" s="149"/>
      <c r="G175" s="107"/>
    </row>
    <row r="176" spans="1:7" ht="12.75">
      <c r="A176" s="56" t="s">
        <v>99</v>
      </c>
      <c r="B176" s="17" t="s">
        <v>100</v>
      </c>
      <c r="C176" s="34">
        <f>SUM(D176,E176)</f>
        <v>18242901</v>
      </c>
      <c r="D176" s="34">
        <f>SUM(D177,D181)</f>
        <v>18242901</v>
      </c>
      <c r="E176" s="34">
        <f>SUM(E177)</f>
        <v>0</v>
      </c>
      <c r="F176" s="149"/>
      <c r="G176" s="107"/>
    </row>
    <row r="177" spans="1:7" ht="12.75">
      <c r="A177" s="52"/>
      <c r="B177" s="17" t="s">
        <v>302</v>
      </c>
      <c r="C177" s="34">
        <f>SUM(D177,E177)</f>
        <v>17883801</v>
      </c>
      <c r="D177" s="34">
        <f>17754800+148237-19236</f>
        <v>17883801</v>
      </c>
      <c r="E177" s="34">
        <v>0</v>
      </c>
      <c r="F177" s="149"/>
      <c r="G177" s="107"/>
    </row>
    <row r="178" spans="1:7" ht="9.75" customHeight="1">
      <c r="A178" s="52"/>
      <c r="B178" s="17" t="s">
        <v>7</v>
      </c>
      <c r="C178" s="34"/>
      <c r="D178" s="34"/>
      <c r="E178" s="34"/>
      <c r="F178" s="149"/>
      <c r="G178" s="107"/>
    </row>
    <row r="179" spans="1:7" ht="11.25" customHeight="1">
      <c r="A179" s="52"/>
      <c r="B179" s="17" t="s">
        <v>110</v>
      </c>
      <c r="C179" s="34">
        <f>SUM(D179,E179)</f>
        <v>12429571</v>
      </c>
      <c r="D179" s="34">
        <f>12596470-148063-18836</f>
        <v>12429571</v>
      </c>
      <c r="E179" s="34">
        <v>0</v>
      </c>
      <c r="F179" s="149"/>
      <c r="G179" s="107"/>
    </row>
    <row r="180" spans="1:7" ht="10.5" customHeight="1">
      <c r="A180" s="52"/>
      <c r="B180" s="17" t="s">
        <v>8</v>
      </c>
      <c r="C180" s="34">
        <f>SUM(D180,E180)</f>
        <v>4760545</v>
      </c>
      <c r="D180" s="34">
        <f>4464245+296300</f>
        <v>4760545</v>
      </c>
      <c r="E180" s="34">
        <v>0</v>
      </c>
      <c r="F180" s="149"/>
      <c r="G180" s="107"/>
    </row>
    <row r="181" spans="1:8" s="3" customFormat="1" ht="12.75">
      <c r="A181" s="53"/>
      <c r="B181" s="18" t="s">
        <v>258</v>
      </c>
      <c r="C181" s="35">
        <f>SUM(D181,E181)</f>
        <v>359100</v>
      </c>
      <c r="D181" s="35">
        <v>359100</v>
      </c>
      <c r="E181" s="35">
        <v>0</v>
      </c>
      <c r="F181" s="148"/>
      <c r="G181" s="107"/>
      <c r="H181" s="6"/>
    </row>
    <row r="182" spans="1:7" ht="12.75">
      <c r="A182" s="56" t="s">
        <v>101</v>
      </c>
      <c r="B182" s="17" t="s">
        <v>102</v>
      </c>
      <c r="C182" s="34">
        <f>SUM(D182,E182)</f>
        <v>20040449</v>
      </c>
      <c r="D182" s="34">
        <f>SUM(D183,)</f>
        <v>19562864</v>
      </c>
      <c r="E182" s="34">
        <f>SUM(E183)</f>
        <v>477585</v>
      </c>
      <c r="F182" s="149"/>
      <c r="G182" s="107"/>
    </row>
    <row r="183" spans="1:7" ht="12.75">
      <c r="A183" s="56"/>
      <c r="B183" s="17" t="s">
        <v>302</v>
      </c>
      <c r="C183" s="34">
        <f>SUM(D183,E183)</f>
        <v>20040449</v>
      </c>
      <c r="D183" s="34">
        <f>20036687-324383-149440</f>
        <v>19562864</v>
      </c>
      <c r="E183" s="34">
        <f>498913-8573-12755</f>
        <v>477585</v>
      </c>
      <c r="F183" s="149"/>
      <c r="G183" s="107"/>
    </row>
    <row r="184" spans="1:7" ht="9.75" customHeight="1">
      <c r="A184" s="56"/>
      <c r="B184" s="17" t="s">
        <v>7</v>
      </c>
      <c r="C184" s="34"/>
      <c r="D184" s="34"/>
      <c r="E184" s="34"/>
      <c r="F184" s="149"/>
      <c r="G184" s="107"/>
    </row>
    <row r="185" spans="1:7" ht="12.75">
      <c r="A185" s="56"/>
      <c r="B185" s="17" t="s">
        <v>110</v>
      </c>
      <c r="C185" s="34">
        <f>SUM(D185,E185)</f>
        <v>16639075</v>
      </c>
      <c r="D185" s="34">
        <f>16612792-278572-127915</f>
        <v>16206305</v>
      </c>
      <c r="E185" s="34">
        <f>453948-8573-12605</f>
        <v>432770</v>
      </c>
      <c r="F185" s="149"/>
      <c r="G185" s="107"/>
    </row>
    <row r="186" spans="1:7" ht="10.5" customHeight="1">
      <c r="A186" s="54"/>
      <c r="B186" s="18" t="s">
        <v>8</v>
      </c>
      <c r="C186" s="35">
        <f>SUM(D186,E186)</f>
        <v>779534</v>
      </c>
      <c r="D186" s="35">
        <f>825345-45811</f>
        <v>779534</v>
      </c>
      <c r="E186" s="35">
        <v>0</v>
      </c>
      <c r="F186" s="149"/>
      <c r="G186" s="107"/>
    </row>
    <row r="187" spans="1:8" s="3" customFormat="1" ht="12.75">
      <c r="A187" s="56" t="s">
        <v>103</v>
      </c>
      <c r="B187" s="17" t="s">
        <v>283</v>
      </c>
      <c r="C187" s="34">
        <f>SUM(D187,E187)</f>
        <v>2477741</v>
      </c>
      <c r="D187" s="34">
        <f>SUM(D188)</f>
        <v>0</v>
      </c>
      <c r="E187" s="34">
        <f>SUM(E188)</f>
        <v>2477741</v>
      </c>
      <c r="F187" s="148"/>
      <c r="G187" s="107"/>
      <c r="H187" s="6"/>
    </row>
    <row r="188" spans="1:8" s="3" customFormat="1" ht="12.75">
      <c r="A188" s="56"/>
      <c r="B188" s="17" t="s">
        <v>302</v>
      </c>
      <c r="C188" s="34">
        <f>SUM(D188,E188)</f>
        <v>2477741</v>
      </c>
      <c r="D188" s="34">
        <v>0</v>
      </c>
      <c r="E188" s="34">
        <f>2700000-122557-99702</f>
        <v>2477741</v>
      </c>
      <c r="F188" s="148"/>
      <c r="G188" s="107"/>
      <c r="H188" s="6"/>
    </row>
    <row r="189" spans="1:8" s="3" customFormat="1" ht="9.75" customHeight="1">
      <c r="A189" s="56"/>
      <c r="B189" s="17" t="s">
        <v>7</v>
      </c>
      <c r="C189" s="34"/>
      <c r="D189" s="34"/>
      <c r="E189" s="34"/>
      <c r="F189" s="148"/>
      <c r="G189" s="107"/>
      <c r="H189" s="6"/>
    </row>
    <row r="190" spans="1:8" s="3" customFormat="1" ht="10.5" customHeight="1">
      <c r="A190" s="56"/>
      <c r="B190" s="17" t="s">
        <v>110</v>
      </c>
      <c r="C190" s="34">
        <f aca="true" t="shared" si="8" ref="C190:C195">SUM(D190,E190)</f>
        <v>1947809</v>
      </c>
      <c r="D190" s="34">
        <v>0</v>
      </c>
      <c r="E190" s="34">
        <f>2054524-57353-49362</f>
        <v>1947809</v>
      </c>
      <c r="F190" s="148"/>
      <c r="G190" s="107"/>
      <c r="H190" s="6"/>
    </row>
    <row r="191" spans="1:8" s="3" customFormat="1" ht="9.75" customHeight="1">
      <c r="A191" s="54"/>
      <c r="B191" s="18" t="s">
        <v>8</v>
      </c>
      <c r="C191" s="35">
        <f t="shared" si="8"/>
        <v>410080</v>
      </c>
      <c r="D191" s="35">
        <v>0</v>
      </c>
      <c r="E191" s="35">
        <f>525284-115204</f>
        <v>410080</v>
      </c>
      <c r="F191" s="148"/>
      <c r="G191" s="107"/>
      <c r="H191" s="6"/>
    </row>
    <row r="192" spans="1:8" s="3" customFormat="1" ht="12.75" customHeight="1">
      <c r="A192" s="56" t="s">
        <v>104</v>
      </c>
      <c r="B192" s="17" t="s">
        <v>105</v>
      </c>
      <c r="C192" s="34">
        <f t="shared" si="8"/>
        <v>41500</v>
      </c>
      <c r="D192" s="34">
        <f>SUM(D193)</f>
        <v>41500</v>
      </c>
      <c r="E192" s="34">
        <f>SUM(E193)</f>
        <v>0</v>
      </c>
      <c r="F192" s="148"/>
      <c r="G192" s="107"/>
      <c r="H192" s="6"/>
    </row>
    <row r="193" spans="1:8" s="3" customFormat="1" ht="12.75">
      <c r="A193" s="54"/>
      <c r="B193" s="18" t="s">
        <v>29</v>
      </c>
      <c r="C193" s="35">
        <f t="shared" si="8"/>
        <v>41500</v>
      </c>
      <c r="D193" s="35">
        <v>41500</v>
      </c>
      <c r="E193" s="35">
        <v>0</v>
      </c>
      <c r="F193" s="148"/>
      <c r="G193" s="107"/>
      <c r="H193" s="6"/>
    </row>
    <row r="194" spans="1:8" s="3" customFormat="1" ht="12.75">
      <c r="A194" s="56" t="s">
        <v>106</v>
      </c>
      <c r="B194" s="17" t="s">
        <v>107</v>
      </c>
      <c r="C194" s="34">
        <f t="shared" si="8"/>
        <v>17980628</v>
      </c>
      <c r="D194" s="34">
        <f>SUM(D195,D199)</f>
        <v>0</v>
      </c>
      <c r="E194" s="34">
        <f>SUM(E195,E199)</f>
        <v>17980628</v>
      </c>
      <c r="F194" s="148"/>
      <c r="G194" s="107"/>
      <c r="H194" s="6"/>
    </row>
    <row r="195" spans="1:8" s="3" customFormat="1" ht="10.5" customHeight="1">
      <c r="A195" s="56"/>
      <c r="B195" s="17" t="s">
        <v>302</v>
      </c>
      <c r="C195" s="34">
        <f t="shared" si="8"/>
        <v>17680628</v>
      </c>
      <c r="D195" s="34">
        <v>0</v>
      </c>
      <c r="E195" s="34">
        <f>19208100-1093308-454064+19900</f>
        <v>17680628</v>
      </c>
      <c r="F195" s="148"/>
      <c r="G195" s="107"/>
      <c r="H195" s="6"/>
    </row>
    <row r="196" spans="1:8" s="3" customFormat="1" ht="9.75" customHeight="1">
      <c r="A196" s="56"/>
      <c r="B196" s="17" t="s">
        <v>7</v>
      </c>
      <c r="C196" s="34"/>
      <c r="D196" s="34"/>
      <c r="E196" s="34"/>
      <c r="F196" s="148"/>
      <c r="G196" s="107"/>
      <c r="H196" s="6"/>
    </row>
    <row r="197" spans="1:8" s="3" customFormat="1" ht="12" customHeight="1">
      <c r="A197" s="56"/>
      <c r="B197" s="17" t="s">
        <v>110</v>
      </c>
      <c r="C197" s="34">
        <f>SUM(D197,E197)</f>
        <v>13753501</v>
      </c>
      <c r="D197" s="34">
        <v>0</v>
      </c>
      <c r="E197" s="34">
        <f>14460619-278103-435965+6950</f>
        <v>13753501</v>
      </c>
      <c r="F197" s="148"/>
      <c r="G197" s="107"/>
      <c r="H197" s="6"/>
    </row>
    <row r="198" spans="1:8" s="3" customFormat="1" ht="11.25" customHeight="1">
      <c r="A198" s="56"/>
      <c r="B198" s="17" t="s">
        <v>8</v>
      </c>
      <c r="C198" s="34">
        <f>SUM(D198,E198)</f>
        <v>1929100</v>
      </c>
      <c r="D198" s="34">
        <v>0</v>
      </c>
      <c r="E198" s="34">
        <f>2744305-815205</f>
        <v>1929100</v>
      </c>
      <c r="F198" s="148"/>
      <c r="G198" s="107"/>
      <c r="H198" s="6"/>
    </row>
    <row r="199" spans="1:8" s="3" customFormat="1" ht="12" customHeight="1">
      <c r="A199" s="54"/>
      <c r="B199" s="18" t="s">
        <v>258</v>
      </c>
      <c r="C199" s="35">
        <f>SUM(D199,E199)</f>
        <v>300000</v>
      </c>
      <c r="D199" s="35">
        <v>0</v>
      </c>
      <c r="E199" s="35">
        <v>300000</v>
      </c>
      <c r="F199" s="148"/>
      <c r="G199" s="107"/>
      <c r="H199" s="6"/>
    </row>
    <row r="200" spans="1:8" s="3" customFormat="1" ht="12.75">
      <c r="A200" s="56" t="s">
        <v>108</v>
      </c>
      <c r="B200" s="17" t="s">
        <v>109</v>
      </c>
      <c r="C200" s="34">
        <f>SUM(D200,E200)</f>
        <v>470308</v>
      </c>
      <c r="D200" s="34">
        <f>SUM(D201)</f>
        <v>0</v>
      </c>
      <c r="E200" s="34">
        <f>SUM(E201)</f>
        <v>470308</v>
      </c>
      <c r="F200" s="148"/>
      <c r="G200" s="107"/>
      <c r="H200" s="6"/>
    </row>
    <row r="201" spans="1:8" s="3" customFormat="1" ht="9.75" customHeight="1">
      <c r="A201" s="52"/>
      <c r="B201" s="17" t="s">
        <v>29</v>
      </c>
      <c r="C201" s="34">
        <f>SUM(D201,E201)</f>
        <v>470308</v>
      </c>
      <c r="D201" s="34">
        <v>0</v>
      </c>
      <c r="E201" s="34">
        <f>491815-8318-13189</f>
        <v>470308</v>
      </c>
      <c r="F201" s="148"/>
      <c r="G201" s="107"/>
      <c r="H201" s="6"/>
    </row>
    <row r="202" spans="1:8" s="3" customFormat="1" ht="9" customHeight="1">
      <c r="A202" s="52"/>
      <c r="B202" s="17" t="s">
        <v>7</v>
      </c>
      <c r="C202" s="34"/>
      <c r="D202" s="34"/>
      <c r="E202" s="34"/>
      <c r="F202" s="148"/>
      <c r="G202" s="107"/>
      <c r="H202" s="6"/>
    </row>
    <row r="203" spans="1:8" s="3" customFormat="1" ht="12" customHeight="1">
      <c r="A203" s="53"/>
      <c r="B203" s="18" t="s">
        <v>110</v>
      </c>
      <c r="C203" s="35">
        <f>SUM(D203,E203)</f>
        <v>421952</v>
      </c>
      <c r="D203" s="35">
        <v>0</v>
      </c>
      <c r="E203" s="35">
        <f>443112-8318-12842</f>
        <v>421952</v>
      </c>
      <c r="F203" s="148"/>
      <c r="G203" s="107"/>
      <c r="H203" s="6"/>
    </row>
    <row r="204" spans="1:8" s="3" customFormat="1" ht="12.75">
      <c r="A204" s="56" t="s">
        <v>284</v>
      </c>
      <c r="B204" s="17" t="s">
        <v>285</v>
      </c>
      <c r="C204" s="34">
        <f>SUM(D204,E204)</f>
        <v>405901</v>
      </c>
      <c r="D204" s="34">
        <f>SUM(D205)</f>
        <v>0</v>
      </c>
      <c r="E204" s="34">
        <f>SUM(E205)</f>
        <v>405901</v>
      </c>
      <c r="F204" s="148"/>
      <c r="G204" s="107"/>
      <c r="H204" s="6"/>
    </row>
    <row r="205" spans="1:8" s="3" customFormat="1" ht="10.5" customHeight="1">
      <c r="A205" s="52"/>
      <c r="B205" s="17" t="s">
        <v>29</v>
      </c>
      <c r="C205" s="34">
        <f>SUM(D205,E205)</f>
        <v>405901</v>
      </c>
      <c r="D205" s="34">
        <v>0</v>
      </c>
      <c r="E205" s="34">
        <f>428374-11624-10849</f>
        <v>405901</v>
      </c>
      <c r="F205" s="148"/>
      <c r="G205" s="107"/>
      <c r="H205" s="6"/>
    </row>
    <row r="206" spans="1:8" s="3" customFormat="1" ht="9.75" customHeight="1">
      <c r="A206" s="52"/>
      <c r="B206" s="17" t="s">
        <v>7</v>
      </c>
      <c r="C206" s="34"/>
      <c r="D206" s="34"/>
      <c r="E206" s="34"/>
      <c r="F206" s="148"/>
      <c r="G206" s="107"/>
      <c r="H206" s="6"/>
    </row>
    <row r="207" spans="1:8" s="3" customFormat="1" ht="12.75">
      <c r="A207" s="53"/>
      <c r="B207" s="18" t="s">
        <v>110</v>
      </c>
      <c r="C207" s="35">
        <f>SUM(D207,E207)</f>
        <v>391255</v>
      </c>
      <c r="D207" s="35">
        <v>0</v>
      </c>
      <c r="E207" s="35">
        <f>413708-11624-10829</f>
        <v>391255</v>
      </c>
      <c r="F207" s="148"/>
      <c r="G207" s="107"/>
      <c r="H207" s="6"/>
    </row>
    <row r="208" spans="1:8" s="3" customFormat="1" ht="12.75">
      <c r="A208" s="56" t="s">
        <v>111</v>
      </c>
      <c r="B208" s="17" t="s">
        <v>112</v>
      </c>
      <c r="C208" s="34">
        <f>SUM(D208,E208)</f>
        <v>24430412</v>
      </c>
      <c r="D208" s="34">
        <f>SUM(D209,D213)</f>
        <v>0</v>
      </c>
      <c r="E208" s="34">
        <f>SUM(E209,E213)</f>
        <v>24430412</v>
      </c>
      <c r="F208" s="148"/>
      <c r="G208" s="107"/>
      <c r="H208" s="6"/>
    </row>
    <row r="209" spans="1:8" s="3" customFormat="1" ht="10.5" customHeight="1">
      <c r="A209" s="52"/>
      <c r="B209" s="17" t="s">
        <v>15</v>
      </c>
      <c r="C209" s="34">
        <f>SUM(D209,E209)</f>
        <v>23430412</v>
      </c>
      <c r="D209" s="34">
        <v>0</v>
      </c>
      <c r="E209" s="34">
        <f>26576000-2647347-498241</f>
        <v>23430412</v>
      </c>
      <c r="F209" s="148"/>
      <c r="G209" s="107"/>
      <c r="H209" s="6"/>
    </row>
    <row r="210" spans="1:8" s="3" customFormat="1" ht="9.75" customHeight="1">
      <c r="A210" s="52"/>
      <c r="B210" s="17" t="s">
        <v>7</v>
      </c>
      <c r="C210" s="34"/>
      <c r="D210" s="34"/>
      <c r="E210" s="34"/>
      <c r="F210" s="148"/>
      <c r="G210" s="107"/>
      <c r="H210" s="6"/>
    </row>
    <row r="211" spans="1:8" s="3" customFormat="1" ht="10.5" customHeight="1">
      <c r="A211" s="52"/>
      <c r="B211" s="17" t="s">
        <v>110</v>
      </c>
      <c r="C211" s="34">
        <f>SUM(D211,E211)</f>
        <v>18358660</v>
      </c>
      <c r="D211" s="34">
        <v>0</v>
      </c>
      <c r="E211" s="34">
        <f>19163035-329030-475345</f>
        <v>18358660</v>
      </c>
      <c r="F211" s="148"/>
      <c r="G211" s="107"/>
      <c r="H211" s="6"/>
    </row>
    <row r="212" spans="1:8" s="3" customFormat="1" ht="10.5" customHeight="1">
      <c r="A212" s="52"/>
      <c r="B212" s="17" t="s">
        <v>8</v>
      </c>
      <c r="C212" s="34">
        <f>SUM(D212,E212)</f>
        <v>2291500</v>
      </c>
      <c r="D212" s="34">
        <v>0</v>
      </c>
      <c r="E212" s="34">
        <f>4609817-2318317</f>
        <v>2291500</v>
      </c>
      <c r="F212" s="148"/>
      <c r="G212" s="107"/>
      <c r="H212" s="6"/>
    </row>
    <row r="213" spans="1:8" s="3" customFormat="1" ht="11.25" customHeight="1">
      <c r="A213" s="54"/>
      <c r="B213" s="18" t="s">
        <v>22</v>
      </c>
      <c r="C213" s="35">
        <f>SUM(D213,E213)</f>
        <v>1000000</v>
      </c>
      <c r="D213" s="35">
        <v>0</v>
      </c>
      <c r="E213" s="35">
        <v>1000000</v>
      </c>
      <c r="F213" s="148"/>
      <c r="G213" s="107"/>
      <c r="H213" s="6"/>
    </row>
    <row r="214" spans="1:8" s="3" customFormat="1" ht="12.75">
      <c r="A214" s="58" t="s">
        <v>113</v>
      </c>
      <c r="B214" s="20" t="s">
        <v>114</v>
      </c>
      <c r="C214" s="34">
        <f>SUM(D214,E214)</f>
        <v>3433483</v>
      </c>
      <c r="D214" s="34">
        <f>SUM(D215,)</f>
        <v>0</v>
      </c>
      <c r="E214" s="34">
        <f>SUM(E215)</f>
        <v>3433483</v>
      </c>
      <c r="F214" s="148"/>
      <c r="G214" s="107"/>
      <c r="H214" s="6"/>
    </row>
    <row r="215" spans="1:8" s="3" customFormat="1" ht="12" customHeight="1">
      <c r="A215" s="59"/>
      <c r="B215" s="20" t="s">
        <v>15</v>
      </c>
      <c r="C215" s="34">
        <f>SUM(D215,E215)</f>
        <v>3433483</v>
      </c>
      <c r="D215" s="34">
        <v>0</v>
      </c>
      <c r="E215" s="34">
        <f>3571066-53826-83757</f>
        <v>3433483</v>
      </c>
      <c r="F215" s="148"/>
      <c r="G215" s="107"/>
      <c r="H215" s="6"/>
    </row>
    <row r="216" spans="1:8" s="3" customFormat="1" ht="9" customHeight="1">
      <c r="A216" s="59"/>
      <c r="B216" s="20" t="s">
        <v>7</v>
      </c>
      <c r="C216" s="34"/>
      <c r="D216" s="34"/>
      <c r="E216" s="34"/>
      <c r="F216" s="148"/>
      <c r="G216" s="107"/>
      <c r="H216" s="6"/>
    </row>
    <row r="217" spans="1:8" s="3" customFormat="1" ht="12.75">
      <c r="A217" s="59"/>
      <c r="B217" s="20" t="s">
        <v>110</v>
      </c>
      <c r="C217" s="34">
        <f>SUM(D217,E217)</f>
        <v>3101686</v>
      </c>
      <c r="D217" s="34">
        <v>0</v>
      </c>
      <c r="E217" s="34">
        <f>3236980-53826-81468</f>
        <v>3101686</v>
      </c>
      <c r="F217" s="148"/>
      <c r="G217" s="107"/>
      <c r="H217" s="6"/>
    </row>
    <row r="218" spans="1:8" s="3" customFormat="1" ht="12.75">
      <c r="A218" s="51" t="s">
        <v>115</v>
      </c>
      <c r="B218" s="16" t="s">
        <v>116</v>
      </c>
      <c r="C218" s="33">
        <f>SUM(D218,E218)</f>
        <v>2439300</v>
      </c>
      <c r="D218" s="33">
        <f>SUM(D219)</f>
        <v>0</v>
      </c>
      <c r="E218" s="33">
        <f>SUM(E219)</f>
        <v>2439300</v>
      </c>
      <c r="F218" s="148"/>
      <c r="G218" s="107"/>
      <c r="H218" s="6"/>
    </row>
    <row r="219" spans="1:8" s="3" customFormat="1" ht="9.75" customHeight="1">
      <c r="A219" s="52"/>
      <c r="B219" s="17" t="s">
        <v>15</v>
      </c>
      <c r="C219" s="34">
        <f>SUM(D219,E219)</f>
        <v>2439300</v>
      </c>
      <c r="D219" s="34">
        <v>0</v>
      </c>
      <c r="E219" s="34">
        <f>2567756-67023-61433</f>
        <v>2439300</v>
      </c>
      <c r="F219" s="148"/>
      <c r="G219" s="107"/>
      <c r="H219" s="6"/>
    </row>
    <row r="220" spans="1:7" ht="9" customHeight="1">
      <c r="A220" s="52"/>
      <c r="B220" s="17" t="s">
        <v>7</v>
      </c>
      <c r="C220" s="34"/>
      <c r="D220" s="34"/>
      <c r="E220" s="34"/>
      <c r="F220" s="149"/>
      <c r="G220" s="107"/>
    </row>
    <row r="221" spans="1:7" ht="10.5" customHeight="1">
      <c r="A221" s="52"/>
      <c r="B221" s="17" t="s">
        <v>110</v>
      </c>
      <c r="C221" s="34">
        <f>SUM(D221,E221)</f>
        <v>2284883</v>
      </c>
      <c r="D221" s="34">
        <v>0</v>
      </c>
      <c r="E221" s="35">
        <f>2413037-67023-61131</f>
        <v>2284883</v>
      </c>
      <c r="F221" s="149"/>
      <c r="G221" s="107"/>
    </row>
    <row r="222" spans="1:8" s="71" customFormat="1" ht="21.75" customHeight="1">
      <c r="A222" s="70" t="s">
        <v>117</v>
      </c>
      <c r="B222" s="21" t="s">
        <v>118</v>
      </c>
      <c r="C222" s="44">
        <f>SUM(D222,E222)</f>
        <v>3538248</v>
      </c>
      <c r="D222" s="44">
        <f>SUM(D223)</f>
        <v>0</v>
      </c>
      <c r="E222" s="44">
        <f>SUM(E223,E226)</f>
        <v>3538248</v>
      </c>
      <c r="F222" s="152"/>
      <c r="G222" s="124"/>
      <c r="H222" s="118"/>
    </row>
    <row r="223" spans="1:7" ht="10.5" customHeight="1">
      <c r="A223" s="52"/>
      <c r="B223" s="17" t="s">
        <v>15</v>
      </c>
      <c r="C223" s="34">
        <f>SUM(D223,E223)</f>
        <v>3303248</v>
      </c>
      <c r="D223" s="34">
        <v>0</v>
      </c>
      <c r="E223" s="34">
        <f>3453217-53317-96652</f>
        <v>3303248</v>
      </c>
      <c r="F223" s="149"/>
      <c r="G223" s="107"/>
    </row>
    <row r="224" spans="1:7" ht="9" customHeight="1">
      <c r="A224" s="52"/>
      <c r="B224" s="17" t="s">
        <v>7</v>
      </c>
      <c r="C224" s="34"/>
      <c r="D224" s="34"/>
      <c r="E224" s="34"/>
      <c r="F224" s="149"/>
      <c r="G224" s="107"/>
    </row>
    <row r="225" spans="1:7" ht="9.75" customHeight="1">
      <c r="A225" s="52"/>
      <c r="B225" s="17" t="s">
        <v>110</v>
      </c>
      <c r="C225" s="34">
        <f>SUM(D225,E225)</f>
        <v>2702158</v>
      </c>
      <c r="D225" s="34">
        <v>0</v>
      </c>
      <c r="E225" s="34">
        <f>2845891-53317-90416</f>
        <v>2702158</v>
      </c>
      <c r="F225" s="149"/>
      <c r="G225" s="107"/>
    </row>
    <row r="226" spans="1:8" s="3" customFormat="1" ht="9.75" customHeight="1">
      <c r="A226" s="53"/>
      <c r="B226" s="18" t="s">
        <v>22</v>
      </c>
      <c r="C226" s="35">
        <f>SUM(D226,E226)</f>
        <v>235000</v>
      </c>
      <c r="D226" s="35">
        <v>0</v>
      </c>
      <c r="E226" s="35">
        <v>235000</v>
      </c>
      <c r="F226" s="148"/>
      <c r="G226" s="107"/>
      <c r="H226" s="6"/>
    </row>
    <row r="227" spans="1:7" ht="12" customHeight="1">
      <c r="A227" s="56" t="s">
        <v>119</v>
      </c>
      <c r="B227" s="17" t="s">
        <v>120</v>
      </c>
      <c r="C227" s="34">
        <f>SUM(D227,E227)</f>
        <v>733777</v>
      </c>
      <c r="D227" s="34">
        <f>SUM(D228)</f>
        <v>395112</v>
      </c>
      <c r="E227" s="34">
        <f>SUM(E228)</f>
        <v>338665</v>
      </c>
      <c r="F227" s="149"/>
      <c r="G227" s="107"/>
    </row>
    <row r="228" spans="1:7" ht="9.75" customHeight="1">
      <c r="A228" s="52"/>
      <c r="B228" s="17" t="s">
        <v>15</v>
      </c>
      <c r="C228" s="34">
        <f>SUM(D228,E228)</f>
        <v>733777</v>
      </c>
      <c r="D228" s="34">
        <f>396900-1191-597</f>
        <v>395112</v>
      </c>
      <c r="E228" s="34">
        <f>343100-1788-2647</f>
        <v>338665</v>
      </c>
      <c r="F228" s="149"/>
      <c r="G228" s="107"/>
    </row>
    <row r="229" spans="1:7" ht="9" customHeight="1">
      <c r="A229" s="52"/>
      <c r="B229" s="17" t="s">
        <v>7</v>
      </c>
      <c r="C229" s="34"/>
      <c r="D229" s="34"/>
      <c r="E229" s="34"/>
      <c r="F229" s="149"/>
      <c r="G229" s="107"/>
    </row>
    <row r="230" spans="1:7" ht="12" customHeight="1">
      <c r="A230" s="53"/>
      <c r="B230" s="18" t="s">
        <v>110</v>
      </c>
      <c r="C230" s="35">
        <f>SUM(D230,E230)</f>
        <v>152553</v>
      </c>
      <c r="D230" s="35">
        <f>63190-1191-597</f>
        <v>61402</v>
      </c>
      <c r="E230" s="35">
        <f>95586-1788-2647</f>
        <v>91151</v>
      </c>
      <c r="F230" s="149"/>
      <c r="G230" s="107"/>
    </row>
    <row r="231" spans="1:7" ht="12.75">
      <c r="A231" s="56" t="s">
        <v>291</v>
      </c>
      <c r="B231" s="17" t="s">
        <v>292</v>
      </c>
      <c r="C231" s="33">
        <f>SUM(D231,E231)</f>
        <v>122971</v>
      </c>
      <c r="D231" s="34">
        <f>SUM(D232)</f>
        <v>122971</v>
      </c>
      <c r="E231" s="34">
        <f>SUM(E232)</f>
        <v>0</v>
      </c>
      <c r="F231" s="149"/>
      <c r="G231" s="107"/>
    </row>
    <row r="232" spans="1:7" ht="9.75" customHeight="1">
      <c r="A232" s="52"/>
      <c r="B232" s="17" t="s">
        <v>15</v>
      </c>
      <c r="C232" s="34">
        <f>SUM(D232,E232)</f>
        <v>122971</v>
      </c>
      <c r="D232" s="34">
        <v>122971</v>
      </c>
      <c r="E232" s="34">
        <v>0</v>
      </c>
      <c r="F232" s="149"/>
      <c r="G232" s="107"/>
    </row>
    <row r="233" spans="1:7" ht="9" customHeight="1">
      <c r="A233" s="52"/>
      <c r="B233" s="17" t="s">
        <v>7</v>
      </c>
      <c r="C233" s="34"/>
      <c r="D233" s="34"/>
      <c r="E233" s="34"/>
      <c r="F233" s="149"/>
      <c r="G233" s="107"/>
    </row>
    <row r="234" spans="1:7" ht="9.75" customHeight="1">
      <c r="A234" s="53"/>
      <c r="B234" s="18" t="s">
        <v>110</v>
      </c>
      <c r="C234" s="35">
        <f>SUM(D234,E234)</f>
        <v>118475</v>
      </c>
      <c r="D234" s="35">
        <v>118475</v>
      </c>
      <c r="E234" s="35">
        <v>0</v>
      </c>
      <c r="F234" s="149"/>
      <c r="G234" s="107"/>
    </row>
    <row r="235" spans="1:7" ht="12.75">
      <c r="A235" s="56" t="s">
        <v>121</v>
      </c>
      <c r="B235" s="17" t="s">
        <v>10</v>
      </c>
      <c r="C235" s="34">
        <f>SUM(D235,E235)</f>
        <v>6553334</v>
      </c>
      <c r="D235" s="34">
        <f>SUM(D236,D239)</f>
        <v>5759498</v>
      </c>
      <c r="E235" s="34">
        <f>SUM(E236,E239)</f>
        <v>793836</v>
      </c>
      <c r="F235" s="149"/>
      <c r="G235" s="107"/>
    </row>
    <row r="236" spans="1:7" ht="10.5" customHeight="1">
      <c r="A236" s="52"/>
      <c r="B236" s="17" t="s">
        <v>289</v>
      </c>
      <c r="C236" s="34">
        <f>SUM(D236,E236)</f>
        <v>1842934</v>
      </c>
      <c r="D236" s="34">
        <v>1049098</v>
      </c>
      <c r="E236" s="34">
        <v>793836</v>
      </c>
      <c r="F236" s="149"/>
      <c r="G236" s="107"/>
    </row>
    <row r="237" spans="1:7" ht="9" customHeight="1">
      <c r="A237" s="52"/>
      <c r="B237" s="17" t="s">
        <v>7</v>
      </c>
      <c r="C237" s="38"/>
      <c r="D237" s="34"/>
      <c r="E237" s="34"/>
      <c r="F237" s="149"/>
      <c r="G237" s="107"/>
    </row>
    <row r="238" spans="1:7" ht="9.75" customHeight="1">
      <c r="A238" s="52"/>
      <c r="B238" s="17" t="s">
        <v>110</v>
      </c>
      <c r="C238" s="34">
        <f aca="true" t="shared" si="9" ref="C238:C244">SUM(D238,E238)</f>
        <v>15000</v>
      </c>
      <c r="D238" s="34">
        <v>15000</v>
      </c>
      <c r="E238" s="34">
        <v>0</v>
      </c>
      <c r="F238" s="149"/>
      <c r="G238" s="107"/>
    </row>
    <row r="239" spans="1:8" s="11" customFormat="1" ht="11.25" customHeight="1">
      <c r="A239" s="54"/>
      <c r="B239" s="18" t="s">
        <v>22</v>
      </c>
      <c r="C239" s="35">
        <f t="shared" si="9"/>
        <v>4710400</v>
      </c>
      <c r="D239" s="35">
        <f>4660400+50000</f>
        <v>4710400</v>
      </c>
      <c r="E239" s="35">
        <v>0</v>
      </c>
      <c r="F239" s="148"/>
      <c r="G239" s="107"/>
      <c r="H239" s="119"/>
    </row>
    <row r="240" spans="1:8" s="11" customFormat="1" ht="12.75">
      <c r="A240" s="57" t="s">
        <v>122</v>
      </c>
      <c r="B240" s="15" t="s">
        <v>123</v>
      </c>
      <c r="C240" s="32">
        <f t="shared" si="9"/>
        <v>2948130</v>
      </c>
      <c r="D240" s="32">
        <f>SUM(D243,D247,D249,D254,D259,D241)</f>
        <v>2948130</v>
      </c>
      <c r="E240" s="32">
        <f>SUM(E243,E247,E249,E254,E259,E241)</f>
        <v>0</v>
      </c>
      <c r="F240" s="148"/>
      <c r="G240" s="107"/>
      <c r="H240" s="119"/>
    </row>
    <row r="241" spans="1:8" s="94" customFormat="1" ht="12.75">
      <c r="A241" s="56" t="s">
        <v>246</v>
      </c>
      <c r="B241" s="17" t="s">
        <v>247</v>
      </c>
      <c r="C241" s="34">
        <f t="shared" si="9"/>
        <v>850000</v>
      </c>
      <c r="D241" s="34">
        <f>SUM(D242)</f>
        <v>850000</v>
      </c>
      <c r="E241" s="34">
        <v>0</v>
      </c>
      <c r="F241" s="148"/>
      <c r="G241" s="107"/>
      <c r="H241" s="95"/>
    </row>
    <row r="242" spans="1:8" s="94" customFormat="1" ht="12.75">
      <c r="A242" s="54"/>
      <c r="B242" s="18" t="s">
        <v>22</v>
      </c>
      <c r="C242" s="35">
        <f t="shared" si="9"/>
        <v>850000</v>
      </c>
      <c r="D242" s="35">
        <f>650000+200000</f>
        <v>850000</v>
      </c>
      <c r="E242" s="35"/>
      <c r="F242" s="148"/>
      <c r="G242" s="107"/>
      <c r="H242" s="95"/>
    </row>
    <row r="243" spans="1:7" ht="12.75">
      <c r="A243" s="51" t="s">
        <v>124</v>
      </c>
      <c r="B243" s="16" t="s">
        <v>125</v>
      </c>
      <c r="C243" s="33">
        <f t="shared" si="9"/>
        <v>411700</v>
      </c>
      <c r="D243" s="33">
        <f>SUM(D244)</f>
        <v>411700</v>
      </c>
      <c r="E243" s="33">
        <f>SUM(E244)</f>
        <v>0</v>
      </c>
      <c r="F243" s="149"/>
      <c r="G243" s="107"/>
    </row>
    <row r="244" spans="1:7" ht="13.5" customHeight="1">
      <c r="A244" s="56"/>
      <c r="B244" s="17" t="s">
        <v>278</v>
      </c>
      <c r="C244" s="34">
        <f t="shared" si="9"/>
        <v>411700</v>
      </c>
      <c r="D244" s="34">
        <f>397700-6000+20000</f>
        <v>411700</v>
      </c>
      <c r="E244" s="34">
        <v>0</v>
      </c>
      <c r="F244" s="149"/>
      <c r="G244" s="107"/>
    </row>
    <row r="245" spans="1:7" ht="9.75" customHeight="1">
      <c r="A245" s="56"/>
      <c r="B245" s="17" t="s">
        <v>7</v>
      </c>
      <c r="C245" s="34"/>
      <c r="D245" s="34"/>
      <c r="E245" s="34"/>
      <c r="F245" s="149"/>
      <c r="G245" s="107"/>
    </row>
    <row r="246" spans="1:7" ht="9.75" customHeight="1">
      <c r="A246" s="54"/>
      <c r="B246" s="18" t="s">
        <v>110</v>
      </c>
      <c r="C246" s="35">
        <f>SUM(D246,E246)</f>
        <v>12800</v>
      </c>
      <c r="D246" s="35">
        <f>13000-200</f>
        <v>12800</v>
      </c>
      <c r="E246" s="35">
        <v>0</v>
      </c>
      <c r="F246" s="149"/>
      <c r="G246" s="107"/>
    </row>
    <row r="247" spans="1:7" ht="12.75">
      <c r="A247" s="56" t="s">
        <v>126</v>
      </c>
      <c r="B247" s="17" t="s">
        <v>127</v>
      </c>
      <c r="C247" s="34">
        <f>SUM(D247,E247)</f>
        <v>3000</v>
      </c>
      <c r="D247" s="34">
        <f>SUM(D248)</f>
        <v>3000</v>
      </c>
      <c r="E247" s="34">
        <f>SUM(E248)</f>
        <v>0</v>
      </c>
      <c r="F247" s="149"/>
      <c r="G247" s="107"/>
    </row>
    <row r="248" spans="1:7" ht="12.75" customHeight="1">
      <c r="A248" s="54"/>
      <c r="B248" s="18" t="s">
        <v>15</v>
      </c>
      <c r="C248" s="35">
        <f>SUM(D248,E248)</f>
        <v>3000</v>
      </c>
      <c r="D248" s="35">
        <f>3100-100</f>
        <v>3000</v>
      </c>
      <c r="E248" s="35">
        <v>0</v>
      </c>
      <c r="F248" s="149"/>
      <c r="G248" s="107"/>
    </row>
    <row r="249" spans="1:7" ht="12.75">
      <c r="A249" s="56" t="s">
        <v>128</v>
      </c>
      <c r="B249" s="17" t="s">
        <v>129</v>
      </c>
      <c r="C249" s="34">
        <f>SUM(D249,E249)</f>
        <v>321000</v>
      </c>
      <c r="D249" s="34">
        <f>SUM(D250)</f>
        <v>321000</v>
      </c>
      <c r="E249" s="34">
        <f>SUM(E250)</f>
        <v>0</v>
      </c>
      <c r="F249" s="149"/>
      <c r="G249" s="107"/>
    </row>
    <row r="250" spans="1:7" ht="9.75" customHeight="1">
      <c r="A250" s="56"/>
      <c r="B250" s="17" t="s">
        <v>15</v>
      </c>
      <c r="C250" s="34">
        <f>SUM(D250,E250)</f>
        <v>321000</v>
      </c>
      <c r="D250" s="34">
        <v>321000</v>
      </c>
      <c r="E250" s="34">
        <v>0</v>
      </c>
      <c r="F250" s="149"/>
      <c r="G250" s="107"/>
    </row>
    <row r="251" spans="1:7" ht="9" customHeight="1">
      <c r="A251" s="56"/>
      <c r="B251" s="17" t="s">
        <v>61</v>
      </c>
      <c r="C251" s="34"/>
      <c r="D251" s="34"/>
      <c r="E251" s="34"/>
      <c r="F251" s="149"/>
      <c r="G251" s="107"/>
    </row>
    <row r="252" spans="1:7" ht="10.5" customHeight="1">
      <c r="A252" s="56"/>
      <c r="B252" s="17" t="s">
        <v>110</v>
      </c>
      <c r="C252" s="34">
        <f>SUM(D252,E252)</f>
        <v>46000</v>
      </c>
      <c r="D252" s="34">
        <v>46000</v>
      </c>
      <c r="E252" s="34">
        <v>0</v>
      </c>
      <c r="F252" s="149"/>
      <c r="G252" s="107"/>
    </row>
    <row r="253" spans="1:7" ht="11.25" customHeight="1">
      <c r="A253" s="54"/>
      <c r="B253" s="18" t="s">
        <v>8</v>
      </c>
      <c r="C253" s="35">
        <f>SUM(D253,E253)</f>
        <v>225000</v>
      </c>
      <c r="D253" s="35">
        <v>225000</v>
      </c>
      <c r="E253" s="35">
        <v>0</v>
      </c>
      <c r="F253" s="149"/>
      <c r="G253" s="107"/>
    </row>
    <row r="254" spans="1:7" ht="12.75">
      <c r="A254" s="51" t="s">
        <v>130</v>
      </c>
      <c r="B254" s="16" t="s">
        <v>131</v>
      </c>
      <c r="C254" s="33">
        <f>SUM(D254,E254)</f>
        <v>1291630</v>
      </c>
      <c r="D254" s="34">
        <f>SUM(D255,)</f>
        <v>1291630</v>
      </c>
      <c r="E254" s="34">
        <f>SUM(E255,)</f>
        <v>0</v>
      </c>
      <c r="F254" s="149"/>
      <c r="G254" s="107"/>
    </row>
    <row r="255" spans="1:7" ht="9.75" customHeight="1">
      <c r="A255" s="52"/>
      <c r="B255" s="17" t="s">
        <v>15</v>
      </c>
      <c r="C255" s="34">
        <f>SUM(D255,E255)</f>
        <v>1291630</v>
      </c>
      <c r="D255" s="34">
        <v>1291630</v>
      </c>
      <c r="E255" s="34">
        <v>0</v>
      </c>
      <c r="F255" s="149"/>
      <c r="G255" s="107"/>
    </row>
    <row r="256" spans="1:7" ht="8.25" customHeight="1">
      <c r="A256" s="52"/>
      <c r="B256" s="17" t="s">
        <v>7</v>
      </c>
      <c r="C256" s="38"/>
      <c r="D256" s="34"/>
      <c r="E256" s="34"/>
      <c r="F256" s="149"/>
      <c r="G256" s="107"/>
    </row>
    <row r="257" spans="1:7" ht="11.25" customHeight="1">
      <c r="A257" s="52"/>
      <c r="B257" s="17" t="s">
        <v>110</v>
      </c>
      <c r="C257" s="34">
        <f aca="true" t="shared" si="10" ref="C257:C263">SUM(D257,E257)</f>
        <v>183950</v>
      </c>
      <c r="D257" s="34">
        <v>183950</v>
      </c>
      <c r="E257" s="34">
        <v>0</v>
      </c>
      <c r="F257" s="149"/>
      <c r="G257" s="107"/>
    </row>
    <row r="258" spans="1:7" ht="10.5" customHeight="1">
      <c r="A258" s="53"/>
      <c r="B258" s="18" t="s">
        <v>8</v>
      </c>
      <c r="C258" s="35">
        <f t="shared" si="10"/>
        <v>974300</v>
      </c>
      <c r="D258" s="35">
        <f>658300+316000</f>
        <v>974300</v>
      </c>
      <c r="E258" s="35">
        <v>0</v>
      </c>
      <c r="F258" s="149"/>
      <c r="G258" s="107"/>
    </row>
    <row r="259" spans="1:7" ht="11.25" customHeight="1">
      <c r="A259" s="56" t="s">
        <v>132</v>
      </c>
      <c r="B259" s="17" t="s">
        <v>10</v>
      </c>
      <c r="C259" s="34">
        <f t="shared" si="10"/>
        <v>70800</v>
      </c>
      <c r="D259" s="34">
        <f>SUM(D260)</f>
        <v>70800</v>
      </c>
      <c r="E259" s="34">
        <f>SUM(E260)</f>
        <v>0</v>
      </c>
      <c r="F259" s="149"/>
      <c r="G259" s="107"/>
    </row>
    <row r="260" spans="1:7" ht="12.75">
      <c r="A260" s="54"/>
      <c r="B260" s="18" t="s">
        <v>15</v>
      </c>
      <c r="C260" s="35">
        <f t="shared" si="10"/>
        <v>70800</v>
      </c>
      <c r="D260" s="35">
        <f>71900-1100</f>
        <v>70800</v>
      </c>
      <c r="E260" s="35">
        <v>0</v>
      </c>
      <c r="F260" s="149"/>
      <c r="G260" s="107"/>
    </row>
    <row r="261" spans="1:7" ht="12.75">
      <c r="A261" s="57" t="s">
        <v>133</v>
      </c>
      <c r="B261" s="15" t="s">
        <v>134</v>
      </c>
      <c r="C261" s="32">
        <f t="shared" si="10"/>
        <v>40420911</v>
      </c>
      <c r="D261" s="32">
        <f>SUM(D262,D268,D273,D277,D295,D297,D301,D305,D309,D313,D317,D323,D321,D287,D291,D282,D299)</f>
        <v>25084907</v>
      </c>
      <c r="E261" s="32">
        <f>SUM(E262,E268,E273,E277,E295,E297,E301,E305,E309,E313,E317,E323,E321)</f>
        <v>15336004</v>
      </c>
      <c r="F261" s="149"/>
      <c r="G261" s="107"/>
    </row>
    <row r="262" spans="1:7" ht="12" customHeight="1">
      <c r="A262" s="56" t="s">
        <v>135</v>
      </c>
      <c r="B262" s="17" t="s">
        <v>136</v>
      </c>
      <c r="C262" s="33">
        <f t="shared" si="10"/>
        <v>6445600</v>
      </c>
      <c r="D262" s="34">
        <f>SUM(D263)</f>
        <v>0</v>
      </c>
      <c r="E262" s="34">
        <f>SUM(E263,E267)</f>
        <v>6445600</v>
      </c>
      <c r="F262" s="149"/>
      <c r="G262" s="107"/>
    </row>
    <row r="263" spans="1:7" ht="9.75" customHeight="1">
      <c r="A263" s="52"/>
      <c r="B263" s="17" t="s">
        <v>249</v>
      </c>
      <c r="C263" s="34">
        <f t="shared" si="10"/>
        <v>3116600</v>
      </c>
      <c r="D263" s="34">
        <v>0</v>
      </c>
      <c r="E263" s="34">
        <v>3116600</v>
      </c>
      <c r="F263" s="149"/>
      <c r="G263" s="107"/>
    </row>
    <row r="264" spans="1:7" ht="8.25" customHeight="1">
      <c r="A264" s="52"/>
      <c r="B264" s="17" t="s">
        <v>7</v>
      </c>
      <c r="C264" s="38"/>
      <c r="D264" s="34"/>
      <c r="E264" s="34"/>
      <c r="F264" s="149"/>
      <c r="G264" s="107"/>
    </row>
    <row r="265" spans="1:7" ht="10.5" customHeight="1">
      <c r="A265" s="52"/>
      <c r="B265" s="17" t="s">
        <v>110</v>
      </c>
      <c r="C265" s="34">
        <f>SUM(D265,E265)</f>
        <v>1163000</v>
      </c>
      <c r="D265" s="34">
        <v>0</v>
      </c>
      <c r="E265" s="34">
        <f>1180871-17871</f>
        <v>1163000</v>
      </c>
      <c r="F265" s="149"/>
      <c r="G265" s="107"/>
    </row>
    <row r="266" spans="1:7" ht="9.75" customHeight="1">
      <c r="A266" s="52"/>
      <c r="B266" s="17" t="s">
        <v>296</v>
      </c>
      <c r="C266" s="34">
        <f>SUM(D266,E266)</f>
        <v>1415600</v>
      </c>
      <c r="D266" s="34">
        <v>0</v>
      </c>
      <c r="E266" s="34">
        <f>1437200-21600</f>
        <v>1415600</v>
      </c>
      <c r="F266" s="149"/>
      <c r="G266" s="107"/>
    </row>
    <row r="267" spans="1:8" s="3" customFormat="1" ht="11.25" customHeight="1">
      <c r="A267" s="53"/>
      <c r="B267" s="18" t="s">
        <v>22</v>
      </c>
      <c r="C267" s="34">
        <f>SUM(D267,E267)</f>
        <v>3329000</v>
      </c>
      <c r="D267" s="35">
        <v>0</v>
      </c>
      <c r="E267" s="35">
        <v>3329000</v>
      </c>
      <c r="F267" s="148"/>
      <c r="G267" s="107"/>
      <c r="H267" s="6"/>
    </row>
    <row r="268" spans="1:8" s="3" customFormat="1" ht="12.75">
      <c r="A268" s="51" t="s">
        <v>137</v>
      </c>
      <c r="B268" s="16" t="s">
        <v>138</v>
      </c>
      <c r="C268" s="33">
        <f>SUM(D268,E268)</f>
        <v>9479900</v>
      </c>
      <c r="D268" s="33">
        <f>SUM(D269)</f>
        <v>3411100</v>
      </c>
      <c r="E268" s="33">
        <f>SUM(E269,E272)</f>
        <v>6068800</v>
      </c>
      <c r="F268" s="148"/>
      <c r="G268" s="107"/>
      <c r="H268" s="9"/>
    </row>
    <row r="269" spans="1:8" s="3" customFormat="1" ht="9.75" customHeight="1">
      <c r="A269" s="52"/>
      <c r="B269" s="17" t="s">
        <v>328</v>
      </c>
      <c r="C269" s="34">
        <f>SUM(D269,E269)</f>
        <v>8679900</v>
      </c>
      <c r="D269" s="34">
        <f>3463100-52000</f>
        <v>3411100</v>
      </c>
      <c r="E269" s="34">
        <f>5349000-80200</f>
        <v>5268800</v>
      </c>
      <c r="F269" s="148"/>
      <c r="G269" s="107"/>
      <c r="H269" s="6"/>
    </row>
    <row r="270" spans="1:9" s="3" customFormat="1" ht="9.75" customHeight="1">
      <c r="A270" s="52"/>
      <c r="B270" s="17" t="s">
        <v>61</v>
      </c>
      <c r="C270" s="34"/>
      <c r="D270" s="34"/>
      <c r="E270" s="34"/>
      <c r="F270" s="148"/>
      <c r="G270" s="107"/>
      <c r="H270" s="72"/>
      <c r="I270" s="72"/>
    </row>
    <row r="271" spans="1:8" s="3" customFormat="1" ht="12" customHeight="1">
      <c r="A271" s="52"/>
      <c r="B271" s="17" t="s">
        <v>276</v>
      </c>
      <c r="C271" s="34">
        <f>SUM(D271,E271)</f>
        <v>3917000</v>
      </c>
      <c r="D271" s="34">
        <v>0</v>
      </c>
      <c r="E271" s="34">
        <f>3976700-59700</f>
        <v>3917000</v>
      </c>
      <c r="F271" s="148"/>
      <c r="G271" s="107"/>
      <c r="H271" s="6"/>
    </row>
    <row r="272" spans="1:8" s="3" customFormat="1" ht="11.25" customHeight="1">
      <c r="A272" s="53"/>
      <c r="B272" s="18" t="s">
        <v>22</v>
      </c>
      <c r="C272" s="35">
        <f>SUM(D272,E272)</f>
        <v>800000</v>
      </c>
      <c r="D272" s="35">
        <v>0</v>
      </c>
      <c r="E272" s="35">
        <v>800000</v>
      </c>
      <c r="F272" s="148"/>
      <c r="G272" s="107"/>
      <c r="H272" s="6"/>
    </row>
    <row r="273" spans="1:7" ht="12.75">
      <c r="A273" s="51" t="s">
        <v>139</v>
      </c>
      <c r="B273" s="16" t="s">
        <v>140</v>
      </c>
      <c r="C273" s="33">
        <f>SUM(D273,E273)</f>
        <v>1234900</v>
      </c>
      <c r="D273" s="33">
        <f>SUM(D274)</f>
        <v>1234900</v>
      </c>
      <c r="E273" s="33">
        <f>SUM(E274)</f>
        <v>0</v>
      </c>
      <c r="F273" s="149"/>
      <c r="G273" s="107"/>
    </row>
    <row r="274" spans="1:7" ht="10.5" customHeight="1">
      <c r="A274" s="56"/>
      <c r="B274" s="17" t="s">
        <v>15</v>
      </c>
      <c r="C274" s="34">
        <f>SUM(D274,E274)</f>
        <v>1234900</v>
      </c>
      <c r="D274" s="34">
        <v>1234900</v>
      </c>
      <c r="E274" s="34">
        <v>0</v>
      </c>
      <c r="F274" s="148"/>
      <c r="G274" s="107"/>
    </row>
    <row r="275" spans="1:7" ht="9.75" customHeight="1">
      <c r="A275" s="56"/>
      <c r="B275" s="17" t="s">
        <v>7</v>
      </c>
      <c r="C275" s="34"/>
      <c r="D275" s="34"/>
      <c r="E275" s="34"/>
      <c r="F275" s="149"/>
      <c r="G275" s="107"/>
    </row>
    <row r="276" spans="1:7" ht="10.5" customHeight="1">
      <c r="A276" s="56"/>
      <c r="B276" s="17" t="s">
        <v>110</v>
      </c>
      <c r="C276" s="34">
        <f>SUM(D276,E276)</f>
        <v>888300</v>
      </c>
      <c r="D276" s="34">
        <v>888300</v>
      </c>
      <c r="E276" s="34">
        <v>0</v>
      </c>
      <c r="F276" s="149"/>
      <c r="G276" s="107"/>
    </row>
    <row r="277" spans="1:7" ht="12.75">
      <c r="A277" s="51" t="s">
        <v>141</v>
      </c>
      <c r="B277" s="16" t="s">
        <v>142</v>
      </c>
      <c r="C277" s="33">
        <f>SUM(D277,E277)</f>
        <v>2097000</v>
      </c>
      <c r="D277" s="33">
        <f>SUM(D278)</f>
        <v>0</v>
      </c>
      <c r="E277" s="33">
        <f>SUM(E278)</f>
        <v>2097000</v>
      </c>
      <c r="F277" s="149"/>
      <c r="G277" s="107"/>
    </row>
    <row r="278" spans="1:7" ht="10.5" customHeight="1">
      <c r="A278" s="52"/>
      <c r="B278" s="17" t="s">
        <v>312</v>
      </c>
      <c r="C278" s="34">
        <f>SUM(D278,E278)</f>
        <v>2097000</v>
      </c>
      <c r="D278" s="34">
        <v>0</v>
      </c>
      <c r="E278" s="34">
        <v>2097000</v>
      </c>
      <c r="F278" s="149"/>
      <c r="G278" s="107"/>
    </row>
    <row r="279" spans="1:7" ht="9.75" customHeight="1">
      <c r="A279" s="52"/>
      <c r="B279" s="17" t="s">
        <v>7</v>
      </c>
      <c r="C279" s="34"/>
      <c r="D279" s="34"/>
      <c r="E279" s="34"/>
      <c r="F279" s="149"/>
      <c r="G279" s="107"/>
    </row>
    <row r="280" spans="1:7" ht="11.25" customHeight="1">
      <c r="A280" s="52"/>
      <c r="B280" s="17" t="s">
        <v>110</v>
      </c>
      <c r="C280" s="34">
        <f>SUM(D280,E280)</f>
        <v>56427</v>
      </c>
      <c r="D280" s="34">
        <v>0</v>
      </c>
      <c r="E280" s="34">
        <v>56427</v>
      </c>
      <c r="F280" s="149"/>
      <c r="G280" s="107"/>
    </row>
    <row r="281" spans="1:7" ht="11.25" customHeight="1">
      <c r="A281" s="53"/>
      <c r="B281" s="18" t="s">
        <v>8</v>
      </c>
      <c r="C281" s="35">
        <f>SUM(D281,E281)</f>
        <v>397000</v>
      </c>
      <c r="D281" s="35">
        <v>0</v>
      </c>
      <c r="E281" s="35">
        <v>397000</v>
      </c>
      <c r="F281" s="149"/>
      <c r="G281" s="107"/>
    </row>
    <row r="282" spans="1:7" ht="12" customHeight="1">
      <c r="A282" s="56" t="s">
        <v>321</v>
      </c>
      <c r="B282" s="17" t="s">
        <v>322</v>
      </c>
      <c r="C282" s="34">
        <f>SUM(D282,E282)</f>
        <v>257370</v>
      </c>
      <c r="D282" s="34">
        <f>SUM(D283)</f>
        <v>257370</v>
      </c>
      <c r="E282" s="34">
        <f>SUM(E283)</f>
        <v>0</v>
      </c>
      <c r="F282" s="149"/>
      <c r="G282" s="107"/>
    </row>
    <row r="283" spans="1:7" ht="11.25" customHeight="1">
      <c r="A283" s="52"/>
      <c r="B283" s="17" t="s">
        <v>312</v>
      </c>
      <c r="C283" s="34">
        <f>SUM(D283,E283)</f>
        <v>257370</v>
      </c>
      <c r="D283" s="34">
        <v>257370</v>
      </c>
      <c r="E283" s="34">
        <v>0</v>
      </c>
      <c r="F283" s="149"/>
      <c r="G283" s="107"/>
    </row>
    <row r="284" spans="1:7" ht="9" customHeight="1">
      <c r="A284" s="52"/>
      <c r="B284" s="17" t="s">
        <v>7</v>
      </c>
      <c r="C284" s="34"/>
      <c r="D284" s="34"/>
      <c r="E284" s="34"/>
      <c r="F284" s="149"/>
      <c r="G284" s="107"/>
    </row>
    <row r="285" spans="1:7" ht="12.75">
      <c r="A285" s="52"/>
      <c r="B285" s="17" t="s">
        <v>110</v>
      </c>
      <c r="C285" s="34">
        <f>SUM(D285,E285)</f>
        <v>242412</v>
      </c>
      <c r="D285" s="34">
        <v>242412</v>
      </c>
      <c r="E285" s="34">
        <v>0</v>
      </c>
      <c r="F285" s="149"/>
      <c r="G285" s="107"/>
    </row>
    <row r="286" spans="1:7" ht="11.25" customHeight="1">
      <c r="A286" s="53"/>
      <c r="B286" s="18" t="s">
        <v>296</v>
      </c>
      <c r="C286" s="35">
        <f>SUM(D286,E286)</f>
        <v>4050</v>
      </c>
      <c r="D286" s="35">
        <v>4050</v>
      </c>
      <c r="E286" s="35">
        <v>0</v>
      </c>
      <c r="F286" s="149"/>
      <c r="G286" s="107"/>
    </row>
    <row r="287" spans="1:7" ht="29.25" customHeight="1">
      <c r="A287" s="56" t="s">
        <v>248</v>
      </c>
      <c r="B287" s="17" t="s">
        <v>329</v>
      </c>
      <c r="C287" s="34">
        <f>SUM(D287,E287)</f>
        <v>210000</v>
      </c>
      <c r="D287" s="34">
        <f>SUM(D288)</f>
        <v>210000</v>
      </c>
      <c r="E287" s="34">
        <f>SUM(E288)</f>
        <v>0</v>
      </c>
      <c r="F287" s="149"/>
      <c r="G287" s="107"/>
    </row>
    <row r="288" spans="1:7" ht="11.25" customHeight="1">
      <c r="A288" s="52"/>
      <c r="B288" s="17" t="s">
        <v>29</v>
      </c>
      <c r="C288" s="34">
        <f>SUM(D288,E288)</f>
        <v>210000</v>
      </c>
      <c r="D288" s="34">
        <f>284600-74600</f>
        <v>210000</v>
      </c>
      <c r="E288" s="34">
        <v>0</v>
      </c>
      <c r="F288" s="149"/>
      <c r="G288" s="107"/>
    </row>
    <row r="289" spans="1:7" ht="9.75" customHeight="1">
      <c r="A289" s="52"/>
      <c r="B289" s="17" t="s">
        <v>7</v>
      </c>
      <c r="C289" s="34"/>
      <c r="D289" s="34"/>
      <c r="E289" s="34"/>
      <c r="F289" s="149"/>
      <c r="G289" s="107"/>
    </row>
    <row r="290" spans="1:7" ht="9.75" customHeight="1">
      <c r="A290" s="53"/>
      <c r="B290" s="18" t="s">
        <v>110</v>
      </c>
      <c r="C290" s="35">
        <f>SUM(D290,E290)</f>
        <v>210000</v>
      </c>
      <c r="D290" s="35">
        <f>284600-74600</f>
        <v>210000</v>
      </c>
      <c r="E290" s="35">
        <v>0</v>
      </c>
      <c r="F290" s="149"/>
      <c r="G290" s="107"/>
    </row>
    <row r="291" spans="1:7" ht="39" customHeight="1">
      <c r="A291" s="51" t="s">
        <v>242</v>
      </c>
      <c r="B291" s="16" t="s">
        <v>314</v>
      </c>
      <c r="C291" s="34">
        <f>SUM(D291,E291)</f>
        <v>180657</v>
      </c>
      <c r="D291" s="33">
        <f>SUM(D292)</f>
        <v>180657</v>
      </c>
      <c r="E291" s="33">
        <f>SUM(E292)</f>
        <v>0</v>
      </c>
      <c r="F291" s="149"/>
      <c r="G291" s="107"/>
    </row>
    <row r="292" spans="1:7" ht="10.5" customHeight="1">
      <c r="A292" s="52"/>
      <c r="B292" s="17" t="s">
        <v>15</v>
      </c>
      <c r="C292" s="34">
        <f>SUM(D292,E292)</f>
        <v>180657</v>
      </c>
      <c r="D292" s="34">
        <f>198500-17843</f>
        <v>180657</v>
      </c>
      <c r="E292" s="34">
        <v>0</v>
      </c>
      <c r="F292" s="149"/>
      <c r="G292" s="107"/>
    </row>
    <row r="293" spans="1:7" ht="9" customHeight="1">
      <c r="A293" s="52"/>
      <c r="B293" s="17" t="s">
        <v>61</v>
      </c>
      <c r="C293" s="38"/>
      <c r="D293" s="34"/>
      <c r="E293" s="34"/>
      <c r="F293" s="149"/>
      <c r="G293" s="107"/>
    </row>
    <row r="294" spans="1:7" ht="9.75" customHeight="1">
      <c r="A294" s="53"/>
      <c r="B294" s="18" t="s">
        <v>31</v>
      </c>
      <c r="C294" s="35">
        <f aca="true" t="shared" si="11" ref="C294:C302">SUM(D294,E294)</f>
        <v>180657</v>
      </c>
      <c r="D294" s="35">
        <f>198500-17843</f>
        <v>180657</v>
      </c>
      <c r="E294" s="35">
        <v>0</v>
      </c>
      <c r="F294" s="149"/>
      <c r="G294" s="107"/>
    </row>
    <row r="295" spans="1:7" ht="19.5" customHeight="1">
      <c r="A295" s="56" t="s">
        <v>143</v>
      </c>
      <c r="B295" s="17" t="s">
        <v>270</v>
      </c>
      <c r="C295" s="34">
        <f t="shared" si="11"/>
        <v>4069750</v>
      </c>
      <c r="D295" s="34">
        <f>SUM(D296)</f>
        <v>4069750</v>
      </c>
      <c r="E295" s="34">
        <f>SUM(E296)</f>
        <v>0</v>
      </c>
      <c r="F295" s="149"/>
      <c r="G295" s="107"/>
    </row>
    <row r="296" spans="1:10" ht="10.5" customHeight="1">
      <c r="A296" s="52"/>
      <c r="B296" s="17" t="s">
        <v>15</v>
      </c>
      <c r="C296" s="34">
        <f t="shared" si="11"/>
        <v>4069750</v>
      </c>
      <c r="D296" s="34">
        <f>4710900-436972-64128-140050</f>
        <v>4069750</v>
      </c>
      <c r="E296" s="35">
        <v>0</v>
      </c>
      <c r="F296" s="149"/>
      <c r="G296" s="107"/>
      <c r="I296" s="7"/>
      <c r="J296" s="101"/>
    </row>
    <row r="297" spans="1:7" ht="12.75">
      <c r="A297" s="51" t="s">
        <v>144</v>
      </c>
      <c r="B297" s="16" t="s">
        <v>145</v>
      </c>
      <c r="C297" s="33">
        <f t="shared" si="11"/>
        <v>6402500</v>
      </c>
      <c r="D297" s="33">
        <f>SUM(D298)</f>
        <v>6402500</v>
      </c>
      <c r="E297" s="33">
        <f>SUM(E298)</f>
        <v>0</v>
      </c>
      <c r="F297" s="149"/>
      <c r="G297" s="107"/>
    </row>
    <row r="298" spans="1:7" ht="11.25" customHeight="1">
      <c r="A298" s="54"/>
      <c r="B298" s="18" t="s">
        <v>29</v>
      </c>
      <c r="C298" s="35">
        <f t="shared" si="11"/>
        <v>6402500</v>
      </c>
      <c r="D298" s="35">
        <f>7000000-500000-97500</f>
        <v>6402500</v>
      </c>
      <c r="E298" s="35">
        <v>0</v>
      </c>
      <c r="F298" s="149"/>
      <c r="G298" s="107"/>
    </row>
    <row r="299" spans="1:7" ht="12.75">
      <c r="A299" s="56" t="s">
        <v>323</v>
      </c>
      <c r="B299" s="17" t="s">
        <v>324</v>
      </c>
      <c r="C299" s="33">
        <f t="shared" si="11"/>
        <v>2115430</v>
      </c>
      <c r="D299" s="34">
        <f>SUM(D300)</f>
        <v>2115430</v>
      </c>
      <c r="E299" s="34">
        <f>SUM(E300)</f>
        <v>0</v>
      </c>
      <c r="F299" s="149"/>
      <c r="G299" s="107"/>
    </row>
    <row r="300" spans="1:7" ht="12" customHeight="1">
      <c r="A300" s="54"/>
      <c r="B300" s="18" t="s">
        <v>15</v>
      </c>
      <c r="C300" s="35">
        <f t="shared" si="11"/>
        <v>2115430</v>
      </c>
      <c r="D300" s="35">
        <f>2439100-323670</f>
        <v>2115430</v>
      </c>
      <c r="E300" s="35">
        <v>0</v>
      </c>
      <c r="F300" s="149"/>
      <c r="G300" s="107"/>
    </row>
    <row r="301" spans="1:7" ht="12.75">
      <c r="A301" s="56" t="s">
        <v>146</v>
      </c>
      <c r="B301" s="17" t="s">
        <v>147</v>
      </c>
      <c r="C301" s="34">
        <f t="shared" si="11"/>
        <v>216200</v>
      </c>
      <c r="D301" s="34">
        <f>SUM(D302)</f>
        <v>0</v>
      </c>
      <c r="E301" s="34">
        <f>SUM(E302)</f>
        <v>216200</v>
      </c>
      <c r="F301" s="149"/>
      <c r="G301" s="107"/>
    </row>
    <row r="302" spans="1:7" ht="9.75" customHeight="1">
      <c r="A302" s="52"/>
      <c r="B302" s="17" t="s">
        <v>29</v>
      </c>
      <c r="C302" s="34">
        <f t="shared" si="11"/>
        <v>216200</v>
      </c>
      <c r="D302" s="34">
        <v>0</v>
      </c>
      <c r="E302" s="34">
        <f>219500-3300</f>
        <v>216200</v>
      </c>
      <c r="F302" s="149"/>
      <c r="G302" s="107"/>
    </row>
    <row r="303" spans="1:7" ht="9.75" customHeight="1">
      <c r="A303" s="52"/>
      <c r="B303" s="17" t="s">
        <v>7</v>
      </c>
      <c r="C303" s="34"/>
      <c r="D303" s="34"/>
      <c r="E303" s="34"/>
      <c r="F303" s="149"/>
      <c r="G303" s="107"/>
    </row>
    <row r="304" spans="1:7" ht="11.25" customHeight="1">
      <c r="A304" s="53"/>
      <c r="B304" s="18" t="s">
        <v>110</v>
      </c>
      <c r="C304" s="35">
        <f>SUM(D304,E304)</f>
        <v>172500</v>
      </c>
      <c r="D304" s="35">
        <v>0</v>
      </c>
      <c r="E304" s="35">
        <f>175150-2650</f>
        <v>172500</v>
      </c>
      <c r="F304" s="149"/>
      <c r="G304" s="107"/>
    </row>
    <row r="305" spans="1:7" ht="12.75">
      <c r="A305" s="51" t="s">
        <v>148</v>
      </c>
      <c r="B305" s="16" t="s">
        <v>149</v>
      </c>
      <c r="C305" s="33">
        <f>SUM(D305,E305)</f>
        <v>4176100</v>
      </c>
      <c r="D305" s="33">
        <f>SUM(D306,)</f>
        <v>4176100</v>
      </c>
      <c r="E305" s="33">
        <f>SUM(E306)</f>
        <v>0</v>
      </c>
      <c r="F305" s="149"/>
      <c r="G305" s="107"/>
    </row>
    <row r="306" spans="1:7" ht="11.25" customHeight="1">
      <c r="A306" s="52"/>
      <c r="B306" s="17" t="s">
        <v>29</v>
      </c>
      <c r="C306" s="34">
        <f>SUM(D306,E306)</f>
        <v>4176100</v>
      </c>
      <c r="D306" s="34">
        <f>4311700-72000-63600</f>
        <v>4176100</v>
      </c>
      <c r="E306" s="34">
        <v>0</v>
      </c>
      <c r="F306" s="149"/>
      <c r="G306" s="107"/>
    </row>
    <row r="307" spans="1:7" ht="9.75" customHeight="1">
      <c r="A307" s="52"/>
      <c r="B307" s="17" t="s">
        <v>7</v>
      </c>
      <c r="C307" s="34"/>
      <c r="D307" s="34"/>
      <c r="E307" s="34"/>
      <c r="F307" s="149"/>
      <c r="G307" s="107"/>
    </row>
    <row r="308" spans="1:7" ht="10.5" customHeight="1">
      <c r="A308" s="52"/>
      <c r="B308" s="17" t="s">
        <v>110</v>
      </c>
      <c r="C308" s="34">
        <f>SUM(D308,E308)</f>
        <v>3656600</v>
      </c>
      <c r="D308" s="34">
        <f>3712314-55714</f>
        <v>3656600</v>
      </c>
      <c r="E308" s="34">
        <v>0</v>
      </c>
      <c r="F308" s="149"/>
      <c r="G308" s="107"/>
    </row>
    <row r="309" spans="1:7" ht="18.75" customHeight="1">
      <c r="A309" s="51" t="s">
        <v>150</v>
      </c>
      <c r="B309" s="16" t="s">
        <v>151</v>
      </c>
      <c r="C309" s="45">
        <f>SUM(D309,E309)</f>
        <v>435908</v>
      </c>
      <c r="D309" s="45">
        <f>SUM(D310)</f>
        <v>0</v>
      </c>
      <c r="E309" s="45">
        <f>SUM(E310)</f>
        <v>435908</v>
      </c>
      <c r="F309" s="149"/>
      <c r="G309" s="107"/>
    </row>
    <row r="310" spans="1:7" ht="9.75" customHeight="1">
      <c r="A310" s="52"/>
      <c r="B310" s="17" t="s">
        <v>15</v>
      </c>
      <c r="C310" s="34">
        <f>SUM(D310,E310)</f>
        <v>435908</v>
      </c>
      <c r="D310" s="34">
        <v>0</v>
      </c>
      <c r="E310" s="34">
        <f>471620-7120-28592</f>
        <v>435908</v>
      </c>
      <c r="F310" s="149"/>
      <c r="G310" s="107"/>
    </row>
    <row r="311" spans="1:7" ht="9.75" customHeight="1">
      <c r="A311" s="52"/>
      <c r="B311" s="17" t="s">
        <v>7</v>
      </c>
      <c r="C311" s="34"/>
      <c r="D311" s="34"/>
      <c r="E311" s="34"/>
      <c r="F311" s="149"/>
      <c r="G311" s="107"/>
    </row>
    <row r="312" spans="1:7" ht="11.25" customHeight="1">
      <c r="A312" s="53"/>
      <c r="B312" s="18" t="s">
        <v>110</v>
      </c>
      <c r="C312" s="35">
        <f>SUM(D312,E312)</f>
        <v>313208</v>
      </c>
      <c r="D312" s="35">
        <v>0</v>
      </c>
      <c r="E312" s="35">
        <f>346025-5225-27592</f>
        <v>313208</v>
      </c>
      <c r="F312" s="149"/>
      <c r="G312" s="107"/>
    </row>
    <row r="313" spans="1:7" ht="12" customHeight="1">
      <c r="A313" s="56" t="s">
        <v>152</v>
      </c>
      <c r="B313" s="17" t="s">
        <v>153</v>
      </c>
      <c r="C313" s="34">
        <f>SUM(D313,E313)</f>
        <v>64000</v>
      </c>
      <c r="D313" s="34">
        <f>SUM(D314)</f>
        <v>0</v>
      </c>
      <c r="E313" s="34">
        <f>SUM(E314)</f>
        <v>64000</v>
      </c>
      <c r="F313" s="149"/>
      <c r="G313" s="107"/>
    </row>
    <row r="314" spans="1:7" ht="11.25" customHeight="1">
      <c r="A314" s="52"/>
      <c r="B314" s="17" t="s">
        <v>310</v>
      </c>
      <c r="C314" s="34">
        <f>SUM(D314,E314)</f>
        <v>64000</v>
      </c>
      <c r="D314" s="34">
        <v>0</v>
      </c>
      <c r="E314" s="34">
        <f>65000-1000</f>
        <v>64000</v>
      </c>
      <c r="F314" s="149"/>
      <c r="G314" s="107"/>
    </row>
    <row r="315" spans="1:7" ht="9" customHeight="1">
      <c r="A315" s="52"/>
      <c r="B315" s="17" t="s">
        <v>7</v>
      </c>
      <c r="C315" s="34"/>
      <c r="D315" s="34"/>
      <c r="E315" s="34"/>
      <c r="F315" s="149"/>
      <c r="G315" s="107"/>
    </row>
    <row r="316" spans="1:7" ht="11.25" customHeight="1">
      <c r="A316" s="53"/>
      <c r="B316" s="18" t="s">
        <v>8</v>
      </c>
      <c r="C316" s="35">
        <f>SUM(D316,E316)</f>
        <v>64000</v>
      </c>
      <c r="D316" s="35">
        <v>0</v>
      </c>
      <c r="E316" s="35">
        <f>65000-1000</f>
        <v>64000</v>
      </c>
      <c r="F316" s="149"/>
      <c r="G316" s="107"/>
    </row>
    <row r="317" spans="1:7" ht="10.5" customHeight="1">
      <c r="A317" s="56" t="s">
        <v>154</v>
      </c>
      <c r="B317" s="17" t="s">
        <v>155</v>
      </c>
      <c r="C317" s="46">
        <f>SUM(D317,E317)</f>
        <v>2998800</v>
      </c>
      <c r="D317" s="46">
        <f>SUM(D318)</f>
        <v>2998800</v>
      </c>
      <c r="E317" s="46">
        <f>SUM(E318)</f>
        <v>0</v>
      </c>
      <c r="F317" s="149"/>
      <c r="G317" s="107"/>
    </row>
    <row r="318" spans="1:7" ht="9.75" customHeight="1">
      <c r="A318" s="56"/>
      <c r="B318" s="17" t="s">
        <v>278</v>
      </c>
      <c r="C318" s="34">
        <f>SUM(D318,E318)</f>
        <v>2998800</v>
      </c>
      <c r="D318" s="34">
        <v>2998800</v>
      </c>
      <c r="E318" s="34">
        <v>0</v>
      </c>
      <c r="F318" s="149"/>
      <c r="G318" s="107"/>
    </row>
    <row r="319" spans="1:7" ht="9.75" customHeight="1">
      <c r="A319" s="56"/>
      <c r="B319" s="17" t="s">
        <v>7</v>
      </c>
      <c r="C319" s="34"/>
      <c r="D319" s="34"/>
      <c r="E319" s="34"/>
      <c r="F319" s="149"/>
      <c r="G319" s="107"/>
    </row>
    <row r="320" spans="1:7" ht="11.25" customHeight="1">
      <c r="A320" s="54"/>
      <c r="B320" s="18" t="s">
        <v>8</v>
      </c>
      <c r="C320" s="35">
        <f>SUM(D320,E320)</f>
        <v>2998800</v>
      </c>
      <c r="D320" s="35">
        <v>2998800</v>
      </c>
      <c r="E320" s="35">
        <v>0</v>
      </c>
      <c r="F320" s="149"/>
      <c r="G320" s="107"/>
    </row>
    <row r="321" spans="1:7" ht="11.25" customHeight="1">
      <c r="A321" s="56" t="s">
        <v>252</v>
      </c>
      <c r="B321" s="17" t="s">
        <v>120</v>
      </c>
      <c r="C321" s="34">
        <f>SUM(D321,E321)</f>
        <v>3000</v>
      </c>
      <c r="D321" s="34">
        <v>0</v>
      </c>
      <c r="E321" s="34">
        <f>SUM(E322)</f>
        <v>3000</v>
      </c>
      <c r="F321" s="149"/>
      <c r="G321" s="107"/>
    </row>
    <row r="322" spans="1:7" ht="10.5" customHeight="1">
      <c r="A322" s="56"/>
      <c r="B322" s="17" t="s">
        <v>297</v>
      </c>
      <c r="C322" s="34">
        <f>SUM(D322,E322)</f>
        <v>3000</v>
      </c>
      <c r="D322" s="34">
        <v>0</v>
      </c>
      <c r="E322" s="35">
        <v>3000</v>
      </c>
      <c r="F322" s="149"/>
      <c r="G322" s="107"/>
    </row>
    <row r="323" spans="1:7" ht="10.5" customHeight="1">
      <c r="A323" s="51" t="s">
        <v>156</v>
      </c>
      <c r="B323" s="16" t="s">
        <v>10</v>
      </c>
      <c r="C323" s="33">
        <f>SUM(D323,E323)</f>
        <v>33796</v>
      </c>
      <c r="D323" s="33">
        <f>SUM(D324)</f>
        <v>28300</v>
      </c>
      <c r="E323" s="33">
        <f>SUM(E324)</f>
        <v>5496</v>
      </c>
      <c r="F323" s="149"/>
      <c r="G323" s="107"/>
    </row>
    <row r="324" spans="1:7" ht="10.5" customHeight="1">
      <c r="A324" s="52"/>
      <c r="B324" s="17" t="s">
        <v>29</v>
      </c>
      <c r="C324" s="34">
        <f>SUM(D324,E324)</f>
        <v>33796</v>
      </c>
      <c r="D324" s="34">
        <v>28300</v>
      </c>
      <c r="E324" s="34">
        <v>5496</v>
      </c>
      <c r="F324" s="149"/>
      <c r="G324" s="107"/>
    </row>
    <row r="325" spans="1:8" s="138" customFormat="1" ht="10.5" customHeight="1">
      <c r="A325" s="56"/>
      <c r="B325" s="17" t="s">
        <v>30</v>
      </c>
      <c r="C325" s="135"/>
      <c r="D325" s="135"/>
      <c r="E325" s="135"/>
      <c r="F325" s="153"/>
      <c r="G325" s="136"/>
      <c r="H325" s="137"/>
    </row>
    <row r="326" spans="1:8" s="138" customFormat="1" ht="12" customHeight="1">
      <c r="A326" s="54"/>
      <c r="B326" s="18" t="s">
        <v>325</v>
      </c>
      <c r="C326" s="139">
        <f>SUM(D326,E326)</f>
        <v>28300</v>
      </c>
      <c r="D326" s="139">
        <v>28300</v>
      </c>
      <c r="E326" s="139">
        <v>0</v>
      </c>
      <c r="F326" s="153"/>
      <c r="G326" s="136"/>
      <c r="H326" s="137"/>
    </row>
    <row r="327" spans="1:8" s="143" customFormat="1" ht="15" customHeight="1">
      <c r="A327" s="57" t="s">
        <v>157</v>
      </c>
      <c r="B327" s="15" t="s">
        <v>158</v>
      </c>
      <c r="C327" s="140">
        <f>SUM(D327,E327)</f>
        <v>6386234.720000001</v>
      </c>
      <c r="D327" s="140">
        <f>SUM(D328,D336,D340,D332,)</f>
        <v>4042260.5700000003</v>
      </c>
      <c r="E327" s="140">
        <f>SUM(E328,E336,E340,E332)</f>
        <v>2343974.15</v>
      </c>
      <c r="F327" s="154"/>
      <c r="G327" s="141"/>
      <c r="H327" s="142"/>
    </row>
    <row r="328" spans="1:7" ht="11.25" customHeight="1">
      <c r="A328" s="56" t="s">
        <v>159</v>
      </c>
      <c r="B328" s="17" t="s">
        <v>160</v>
      </c>
      <c r="C328" s="34">
        <f>SUM(D328,E328)</f>
        <v>2338700</v>
      </c>
      <c r="D328" s="34">
        <f>SUM(D329)</f>
        <v>2338700</v>
      </c>
      <c r="E328" s="34">
        <f>SUM(E329)</f>
        <v>0</v>
      </c>
      <c r="F328" s="149"/>
      <c r="G328" s="107"/>
    </row>
    <row r="329" spans="1:7" ht="10.5" customHeight="1">
      <c r="A329" s="56"/>
      <c r="B329" s="17" t="s">
        <v>15</v>
      </c>
      <c r="C329" s="34">
        <f>SUM(D329,E329)</f>
        <v>2338700</v>
      </c>
      <c r="D329" s="34">
        <f>2302300+72000-35600</f>
        <v>2338700</v>
      </c>
      <c r="E329" s="34">
        <v>0</v>
      </c>
      <c r="F329" s="149"/>
      <c r="G329" s="107"/>
    </row>
    <row r="330" spans="1:7" ht="10.5" customHeight="1">
      <c r="A330" s="56"/>
      <c r="B330" s="17" t="s">
        <v>7</v>
      </c>
      <c r="C330" s="34"/>
      <c r="D330" s="34"/>
      <c r="E330" s="34"/>
      <c r="F330" s="149"/>
      <c r="G330" s="107"/>
    </row>
    <row r="331" spans="1:7" ht="10.5" customHeight="1">
      <c r="A331" s="54"/>
      <c r="B331" s="18" t="s">
        <v>110</v>
      </c>
      <c r="C331" s="35">
        <f>SUM(D331,E331)</f>
        <v>1922000</v>
      </c>
      <c r="D331" s="35">
        <f>1882800+68500-29300</f>
        <v>1922000</v>
      </c>
      <c r="E331" s="35">
        <v>0</v>
      </c>
      <c r="F331" s="149"/>
      <c r="G331" s="107"/>
    </row>
    <row r="332" spans="1:7" ht="20.25" customHeight="1">
      <c r="A332" s="56" t="s">
        <v>264</v>
      </c>
      <c r="B332" s="17" t="s">
        <v>265</v>
      </c>
      <c r="C332" s="34">
        <f>SUM(D332,E332)</f>
        <v>120012</v>
      </c>
      <c r="D332" s="34">
        <v>0</v>
      </c>
      <c r="E332" s="34">
        <f>SUM(E333)</f>
        <v>120012</v>
      </c>
      <c r="F332" s="149"/>
      <c r="G332" s="107"/>
    </row>
    <row r="333" spans="1:7" ht="12.75" customHeight="1">
      <c r="A333" s="52"/>
      <c r="B333" s="17" t="s">
        <v>29</v>
      </c>
      <c r="C333" s="34">
        <f>SUM(D333,E333)</f>
        <v>120012</v>
      </c>
      <c r="D333" s="34">
        <v>0</v>
      </c>
      <c r="E333" s="34">
        <v>120012</v>
      </c>
      <c r="F333" s="149"/>
      <c r="G333" s="107"/>
    </row>
    <row r="334" spans="1:7" ht="9.75" customHeight="1">
      <c r="A334" s="52"/>
      <c r="B334" s="17" t="s">
        <v>7</v>
      </c>
      <c r="C334" s="34"/>
      <c r="D334" s="34"/>
      <c r="E334" s="34"/>
      <c r="F334" s="149"/>
      <c r="G334" s="107"/>
    </row>
    <row r="335" spans="1:7" ht="10.5" customHeight="1">
      <c r="A335" s="53"/>
      <c r="B335" s="18" t="s">
        <v>8</v>
      </c>
      <c r="C335" s="35">
        <f>SUM(D335,E335)</f>
        <v>120012</v>
      </c>
      <c r="D335" s="35">
        <v>0</v>
      </c>
      <c r="E335" s="35">
        <v>120012</v>
      </c>
      <c r="F335" s="149"/>
      <c r="G335" s="107"/>
    </row>
    <row r="336" spans="1:7" ht="12.75">
      <c r="A336" s="56" t="s">
        <v>163</v>
      </c>
      <c r="B336" s="17" t="s">
        <v>164</v>
      </c>
      <c r="C336" s="34">
        <f>SUM(D336,E336)</f>
        <v>2045000</v>
      </c>
      <c r="D336" s="34">
        <f>SUM(D337)</f>
        <v>0</v>
      </c>
      <c r="E336" s="34">
        <f>SUM(E337,)</f>
        <v>2045000</v>
      </c>
      <c r="F336" s="149"/>
      <c r="G336" s="107"/>
    </row>
    <row r="337" spans="1:7" ht="12.75">
      <c r="A337" s="52"/>
      <c r="B337" s="17" t="s">
        <v>15</v>
      </c>
      <c r="C337" s="34">
        <f>SUM(D337,E337)</f>
        <v>2045000</v>
      </c>
      <c r="D337" s="34">
        <v>0</v>
      </c>
      <c r="E337" s="34">
        <f>2076300-31300</f>
        <v>2045000</v>
      </c>
      <c r="F337" s="149"/>
      <c r="G337" s="107"/>
    </row>
    <row r="338" spans="1:7" ht="10.5" customHeight="1">
      <c r="A338" s="52"/>
      <c r="B338" s="17" t="s">
        <v>61</v>
      </c>
      <c r="C338" s="34"/>
      <c r="D338" s="34"/>
      <c r="E338" s="34"/>
      <c r="F338" s="149"/>
      <c r="G338" s="107"/>
    </row>
    <row r="339" spans="1:7" ht="12" customHeight="1">
      <c r="A339" s="53"/>
      <c r="B339" s="18" t="s">
        <v>31</v>
      </c>
      <c r="C339" s="35">
        <f>SUM(D339,E339)</f>
        <v>1839500</v>
      </c>
      <c r="D339" s="35">
        <v>0</v>
      </c>
      <c r="E339" s="35">
        <f>1867517-28017</f>
        <v>1839500</v>
      </c>
      <c r="F339" s="149"/>
      <c r="G339" s="107"/>
    </row>
    <row r="340" spans="1:7" ht="12.75">
      <c r="A340" s="51" t="s">
        <v>166</v>
      </c>
      <c r="B340" s="16" t="s">
        <v>10</v>
      </c>
      <c r="C340" s="127">
        <f>SUM(D340,E340)</f>
        <v>1882522.72</v>
      </c>
      <c r="D340" s="127">
        <f>SUM(D341)</f>
        <v>1703560.57</v>
      </c>
      <c r="E340" s="127">
        <f>SUM(E341)</f>
        <v>178962.15</v>
      </c>
      <c r="F340" s="149"/>
      <c r="G340" s="107"/>
    </row>
    <row r="341" spans="1:7" ht="10.5" customHeight="1">
      <c r="A341" s="52"/>
      <c r="B341" s="17" t="s">
        <v>15</v>
      </c>
      <c r="C341" s="78">
        <f>SUM(D341,E341)</f>
        <v>1882522.72</v>
      </c>
      <c r="D341" s="78">
        <v>1703560.57</v>
      </c>
      <c r="E341" s="78">
        <v>178962.15</v>
      </c>
      <c r="F341" s="149"/>
      <c r="G341" s="107"/>
    </row>
    <row r="342" spans="1:7" ht="9.75" customHeight="1">
      <c r="A342" s="52"/>
      <c r="B342" s="17" t="s">
        <v>7</v>
      </c>
      <c r="C342" s="38"/>
      <c r="D342" s="34"/>
      <c r="E342" s="34"/>
      <c r="F342" s="149"/>
      <c r="G342" s="107"/>
    </row>
    <row r="343" spans="1:7" ht="11.25" customHeight="1">
      <c r="A343" s="52"/>
      <c r="B343" s="17" t="s">
        <v>110</v>
      </c>
      <c r="C343" s="78">
        <f>SUM(D343,E343)</f>
        <v>134148.06</v>
      </c>
      <c r="D343" s="34">
        <v>0</v>
      </c>
      <c r="E343" s="78">
        <v>134148.06</v>
      </c>
      <c r="F343" s="149"/>
      <c r="G343" s="107"/>
    </row>
    <row r="344" spans="1:7" ht="10.5" customHeight="1">
      <c r="A344" s="53"/>
      <c r="B344" s="18" t="s">
        <v>296</v>
      </c>
      <c r="C344" s="35">
        <f>SUM(D344,E344)</f>
        <v>345000</v>
      </c>
      <c r="D344" s="35">
        <f>647850-9750-295650+2550</f>
        <v>345000</v>
      </c>
      <c r="E344" s="35">
        <v>0</v>
      </c>
      <c r="F344" s="149"/>
      <c r="G344" s="107"/>
    </row>
    <row r="345" spans="1:7" ht="14.25" customHeight="1">
      <c r="A345" s="57" t="s">
        <v>167</v>
      </c>
      <c r="B345" s="15" t="s">
        <v>168</v>
      </c>
      <c r="C345" s="84">
        <f>SUM(D345,E345)</f>
        <v>11624682</v>
      </c>
      <c r="D345" s="84">
        <f>SUM(D346,D350,D359,D363,D367,D372,D376,D378,D388,D386,D355)</f>
        <v>2972487</v>
      </c>
      <c r="E345" s="84">
        <f>SUM(E346,E350,E359,E363,E367,E372,E376,E378,E388,E386,E382)</f>
        <v>8652195</v>
      </c>
      <c r="F345" s="149"/>
      <c r="G345" s="107"/>
    </row>
    <row r="346" spans="1:7" ht="12.75">
      <c r="A346" s="56" t="s">
        <v>169</v>
      </c>
      <c r="B346" s="17" t="s">
        <v>170</v>
      </c>
      <c r="C346" s="34">
        <f>SUM(D346,E346)</f>
        <v>2169151</v>
      </c>
      <c r="D346" s="34">
        <f>SUM(D347)</f>
        <v>2108298</v>
      </c>
      <c r="E346" s="34">
        <f>SUM(E347)</f>
        <v>60853</v>
      </c>
      <c r="F346" s="149"/>
      <c r="G346" s="107"/>
    </row>
    <row r="347" spans="1:7" ht="12.75">
      <c r="A347" s="52"/>
      <c r="B347" s="17" t="s">
        <v>29</v>
      </c>
      <c r="C347" s="34">
        <f>SUM(D347,E347)</f>
        <v>2169151</v>
      </c>
      <c r="D347" s="34">
        <f>2163119-38543-16278</f>
        <v>2108298</v>
      </c>
      <c r="E347" s="34">
        <f>64005-1726-1426</f>
        <v>60853</v>
      </c>
      <c r="F347" s="149"/>
      <c r="G347" s="107"/>
    </row>
    <row r="348" spans="1:7" ht="9.75" customHeight="1">
      <c r="A348" s="52"/>
      <c r="B348" s="17" t="s">
        <v>7</v>
      </c>
      <c r="C348" s="34"/>
      <c r="D348" s="34"/>
      <c r="E348" s="34"/>
      <c r="F348" s="149"/>
      <c r="G348" s="107"/>
    </row>
    <row r="349" spans="1:7" ht="12.75">
      <c r="A349" s="53"/>
      <c r="B349" s="18" t="s">
        <v>110</v>
      </c>
      <c r="C349" s="35">
        <f>SUM(D349,E349)</f>
        <v>2046591</v>
      </c>
      <c r="D349" s="35">
        <f>2043025-38543-16064</f>
        <v>1988418</v>
      </c>
      <c r="E349" s="35">
        <f>61325-1726-1426</f>
        <v>58173</v>
      </c>
      <c r="F349" s="149"/>
      <c r="G349" s="107"/>
    </row>
    <row r="350" spans="1:7" ht="12.75" customHeight="1">
      <c r="A350" s="51" t="s">
        <v>171</v>
      </c>
      <c r="B350" s="16" t="s">
        <v>172</v>
      </c>
      <c r="C350" s="44">
        <f>SUM(D350,E350)</f>
        <v>3622939</v>
      </c>
      <c r="D350" s="44">
        <f>SUM(D351)</f>
        <v>0</v>
      </c>
      <c r="E350" s="44">
        <f>SUM(E351)</f>
        <v>3622939</v>
      </c>
      <c r="F350" s="149"/>
      <c r="G350" s="107"/>
    </row>
    <row r="351" spans="1:7" ht="12.75">
      <c r="A351" s="52"/>
      <c r="B351" s="17" t="s">
        <v>29</v>
      </c>
      <c r="C351" s="34">
        <f>SUM(D351,E351)</f>
        <v>3622939</v>
      </c>
      <c r="D351" s="34">
        <v>0</v>
      </c>
      <c r="E351" s="34">
        <f>4032200-351384-57877</f>
        <v>3622939</v>
      </c>
      <c r="F351" s="149"/>
      <c r="G351" s="107"/>
    </row>
    <row r="352" spans="1:7" ht="9.75" customHeight="1">
      <c r="A352" s="52"/>
      <c r="B352" s="17" t="s">
        <v>7</v>
      </c>
      <c r="C352" s="34"/>
      <c r="D352" s="34"/>
      <c r="E352" s="34"/>
      <c r="F352" s="149"/>
      <c r="G352" s="107"/>
    </row>
    <row r="353" spans="1:7" ht="12.75">
      <c r="A353" s="52"/>
      <c r="B353" s="17" t="s">
        <v>110</v>
      </c>
      <c r="C353" s="34">
        <f>SUM(D353,E353)</f>
        <v>2143225</v>
      </c>
      <c r="D353" s="34">
        <v>0</v>
      </c>
      <c r="E353" s="34">
        <f>2256704-60197-53282</f>
        <v>2143225</v>
      </c>
      <c r="F353" s="149"/>
      <c r="G353" s="107"/>
    </row>
    <row r="354" spans="1:7" ht="12.75">
      <c r="A354" s="52"/>
      <c r="B354" s="17" t="s">
        <v>8</v>
      </c>
      <c r="C354" s="35">
        <f>SUM(D354,E354)</f>
        <v>1048306</v>
      </c>
      <c r="D354" s="34">
        <v>0</v>
      </c>
      <c r="E354" s="34">
        <f>1339493-291187</f>
        <v>1048306</v>
      </c>
      <c r="F354" s="149"/>
      <c r="G354" s="107"/>
    </row>
    <row r="355" spans="1:7" ht="12.75">
      <c r="A355" s="51" t="s">
        <v>315</v>
      </c>
      <c r="B355" s="16" t="s">
        <v>316</v>
      </c>
      <c r="C355" s="33">
        <f>SUM(D355,E355)</f>
        <v>3681</v>
      </c>
      <c r="D355" s="33">
        <f>SUM(D356)</f>
        <v>3681</v>
      </c>
      <c r="E355" s="33">
        <f>SUM(E356)</f>
        <v>0</v>
      </c>
      <c r="F355" s="149"/>
      <c r="G355" s="107"/>
    </row>
    <row r="356" spans="1:7" ht="11.25" customHeight="1">
      <c r="A356" s="52"/>
      <c r="B356" s="17" t="s">
        <v>15</v>
      </c>
      <c r="C356" s="34">
        <f>SUM(D356,E356)</f>
        <v>3681</v>
      </c>
      <c r="D356" s="34">
        <v>3681</v>
      </c>
      <c r="E356" s="34">
        <v>0</v>
      </c>
      <c r="F356" s="149"/>
      <c r="G356" s="107"/>
    </row>
    <row r="357" spans="1:7" ht="9.75" customHeight="1">
      <c r="A357" s="52"/>
      <c r="B357" s="17" t="s">
        <v>7</v>
      </c>
      <c r="C357" s="34"/>
      <c r="D357" s="34"/>
      <c r="E357" s="34"/>
      <c r="F357" s="149"/>
      <c r="G357" s="107"/>
    </row>
    <row r="358" spans="1:7" ht="12.75">
      <c r="A358" s="52"/>
      <c r="B358" s="17" t="s">
        <v>8</v>
      </c>
      <c r="C358" s="35">
        <f>SUM(D358,E358)</f>
        <v>3681</v>
      </c>
      <c r="D358" s="34">
        <v>3681</v>
      </c>
      <c r="E358" s="34">
        <v>0</v>
      </c>
      <c r="F358" s="149"/>
      <c r="G358" s="107"/>
    </row>
    <row r="359" spans="1:7" ht="21" customHeight="1">
      <c r="A359" s="51" t="s">
        <v>173</v>
      </c>
      <c r="B359" s="16" t="s">
        <v>287</v>
      </c>
      <c r="C359" s="68">
        <f>SUM(D359,E359)</f>
        <v>1483627</v>
      </c>
      <c r="D359" s="68">
        <f>SUM(D360)</f>
        <v>0</v>
      </c>
      <c r="E359" s="68">
        <f>SUM(E360)</f>
        <v>1483627</v>
      </c>
      <c r="F359" s="149"/>
      <c r="G359" s="107"/>
    </row>
    <row r="360" spans="1:7" ht="11.25" customHeight="1">
      <c r="A360" s="52"/>
      <c r="B360" s="17" t="s">
        <v>15</v>
      </c>
      <c r="C360" s="34">
        <f>SUM(D360,E360)</f>
        <v>1483627</v>
      </c>
      <c r="D360" s="34">
        <v>0</v>
      </c>
      <c r="E360" s="34">
        <f>1562406-31491-47288</f>
        <v>1483627</v>
      </c>
      <c r="F360" s="149"/>
      <c r="G360" s="107"/>
    </row>
    <row r="361" spans="1:7" ht="9.75" customHeight="1">
      <c r="A361" s="52"/>
      <c r="B361" s="17" t="s">
        <v>7</v>
      </c>
      <c r="C361" s="34"/>
      <c r="D361" s="34"/>
      <c r="E361" s="34"/>
      <c r="F361" s="149"/>
      <c r="G361" s="107"/>
    </row>
    <row r="362" spans="1:7" ht="12.75">
      <c r="A362" s="53"/>
      <c r="B362" s="18" t="s">
        <v>110</v>
      </c>
      <c r="C362" s="35">
        <f>SUM(D362,E362)</f>
        <v>1285892</v>
      </c>
      <c r="D362" s="35">
        <v>0</v>
      </c>
      <c r="E362" s="35">
        <f>1362978-31491-45595</f>
        <v>1285892</v>
      </c>
      <c r="F362" s="149"/>
      <c r="G362" s="107"/>
    </row>
    <row r="363" spans="1:7" ht="13.5" customHeight="1">
      <c r="A363" s="56" t="s">
        <v>174</v>
      </c>
      <c r="B363" s="17" t="s">
        <v>331</v>
      </c>
      <c r="C363" s="34">
        <f>SUM(D363,E363)</f>
        <v>847037</v>
      </c>
      <c r="D363" s="34">
        <f>SUM(D364)</f>
        <v>0</v>
      </c>
      <c r="E363" s="34">
        <f>SUM(E364)</f>
        <v>847037</v>
      </c>
      <c r="F363" s="149"/>
      <c r="G363" s="107"/>
    </row>
    <row r="364" spans="1:7" ht="12.75">
      <c r="A364" s="52"/>
      <c r="B364" s="17" t="s">
        <v>15</v>
      </c>
      <c r="C364" s="34">
        <f>SUM(D364,E364)</f>
        <v>847037</v>
      </c>
      <c r="D364" s="34">
        <v>0</v>
      </c>
      <c r="E364" s="34">
        <f>876971-11195-18739</f>
        <v>847037</v>
      </c>
      <c r="F364" s="149"/>
      <c r="G364" s="107"/>
    </row>
    <row r="365" spans="1:7" ht="9.75" customHeight="1">
      <c r="A365" s="52"/>
      <c r="B365" s="17" t="s">
        <v>7</v>
      </c>
      <c r="C365" s="34"/>
      <c r="D365" s="34"/>
      <c r="E365" s="34"/>
      <c r="F365" s="149"/>
      <c r="G365" s="107"/>
    </row>
    <row r="366" spans="1:7" ht="11.25" customHeight="1">
      <c r="A366" s="53"/>
      <c r="B366" s="18" t="s">
        <v>110</v>
      </c>
      <c r="C366" s="35">
        <f>SUM(D366,E366)</f>
        <v>711801</v>
      </c>
      <c r="D366" s="35">
        <v>0</v>
      </c>
      <c r="E366" s="35">
        <f>740395-11195-17399</f>
        <v>711801</v>
      </c>
      <c r="F366" s="149"/>
      <c r="G366" s="107"/>
    </row>
    <row r="367" spans="1:7" ht="12.75">
      <c r="A367" s="56" t="s">
        <v>175</v>
      </c>
      <c r="B367" s="17" t="s">
        <v>176</v>
      </c>
      <c r="C367" s="34">
        <f>SUM(D367,E367)</f>
        <v>863688</v>
      </c>
      <c r="D367" s="34">
        <f>SUM(D368)</f>
        <v>0</v>
      </c>
      <c r="E367" s="34">
        <f>SUM(E368)</f>
        <v>863688</v>
      </c>
      <c r="F367" s="149"/>
      <c r="G367" s="107"/>
    </row>
    <row r="368" spans="1:7" ht="12.75">
      <c r="A368" s="52"/>
      <c r="B368" s="17" t="s">
        <v>15</v>
      </c>
      <c r="C368" s="34">
        <f>SUM(D368,E368)</f>
        <v>863688</v>
      </c>
      <c r="D368" s="34">
        <v>0</v>
      </c>
      <c r="E368" s="34">
        <f>885600-6146-15766</f>
        <v>863688</v>
      </c>
      <c r="F368" s="149"/>
      <c r="G368" s="107"/>
    </row>
    <row r="369" spans="1:7" ht="9.75" customHeight="1">
      <c r="A369" s="52"/>
      <c r="B369" s="17" t="s">
        <v>7</v>
      </c>
      <c r="C369" s="34"/>
      <c r="D369" s="34"/>
      <c r="E369" s="34"/>
      <c r="F369" s="149"/>
      <c r="G369" s="107"/>
    </row>
    <row r="370" spans="1:7" ht="12.75">
      <c r="A370" s="52"/>
      <c r="B370" s="17" t="s">
        <v>110</v>
      </c>
      <c r="C370" s="34">
        <f>SUM(D370,E370)</f>
        <v>542074</v>
      </c>
      <c r="D370" s="34">
        <v>0</v>
      </c>
      <c r="E370" s="34">
        <f>566943-10623-14246</f>
        <v>542074</v>
      </c>
      <c r="F370" s="149"/>
      <c r="G370" s="107"/>
    </row>
    <row r="371" spans="1:7" ht="11.25" customHeight="1">
      <c r="A371" s="53"/>
      <c r="B371" s="18" t="s">
        <v>8</v>
      </c>
      <c r="C371" s="35">
        <f>SUM(D371,E371)</f>
        <v>93627</v>
      </c>
      <c r="D371" s="35">
        <v>0</v>
      </c>
      <c r="E371" s="35">
        <f>89150+4477</f>
        <v>93627</v>
      </c>
      <c r="F371" s="149"/>
      <c r="G371" s="107"/>
    </row>
    <row r="372" spans="1:7" ht="19.5" customHeight="1">
      <c r="A372" s="56" t="s">
        <v>177</v>
      </c>
      <c r="B372" s="17" t="s">
        <v>178</v>
      </c>
      <c r="C372" s="46">
        <f>SUM(D372,E372)</f>
        <v>234500</v>
      </c>
      <c r="D372" s="46">
        <f>SUM(D373,)</f>
        <v>234500</v>
      </c>
      <c r="E372" s="46">
        <f>SUM(E373)</f>
        <v>0</v>
      </c>
      <c r="F372" s="149"/>
      <c r="G372" s="107"/>
    </row>
    <row r="373" spans="1:7" ht="12.75">
      <c r="A373" s="52"/>
      <c r="B373" s="17" t="s">
        <v>29</v>
      </c>
      <c r="C373" s="34">
        <f>SUM(D373,E373)</f>
        <v>234500</v>
      </c>
      <c r="D373" s="34">
        <v>234500</v>
      </c>
      <c r="E373" s="34">
        <v>0</v>
      </c>
      <c r="F373" s="149"/>
      <c r="G373" s="107"/>
    </row>
    <row r="374" spans="1:7" ht="9.75" customHeight="1">
      <c r="A374" s="52"/>
      <c r="B374" s="17" t="s">
        <v>7</v>
      </c>
      <c r="C374" s="38"/>
      <c r="D374" s="34"/>
      <c r="E374" s="34"/>
      <c r="F374" s="149"/>
      <c r="G374" s="107"/>
    </row>
    <row r="375" spans="1:7" ht="12" customHeight="1">
      <c r="A375" s="53"/>
      <c r="B375" s="18" t="s">
        <v>8</v>
      </c>
      <c r="C375" s="35">
        <f>SUM(D375,E375)</f>
        <v>150000</v>
      </c>
      <c r="D375" s="35">
        <v>150000</v>
      </c>
      <c r="E375" s="35">
        <v>0</v>
      </c>
      <c r="F375" s="149"/>
      <c r="G375" s="107"/>
    </row>
    <row r="376" spans="1:7" ht="9.75" customHeight="1">
      <c r="A376" s="51" t="s">
        <v>179</v>
      </c>
      <c r="B376" s="16" t="s">
        <v>180</v>
      </c>
      <c r="C376" s="44">
        <f>SUM(D376,E376)</f>
        <v>615058</v>
      </c>
      <c r="D376" s="33">
        <f>SUM(D377)</f>
        <v>615058</v>
      </c>
      <c r="E376" s="33">
        <f>SUM(E377)</f>
        <v>0</v>
      </c>
      <c r="F376" s="149"/>
      <c r="G376" s="107"/>
    </row>
    <row r="377" spans="1:7" ht="12.75">
      <c r="A377" s="53"/>
      <c r="B377" s="18" t="s">
        <v>297</v>
      </c>
      <c r="C377" s="35">
        <f>SUM(D377,E377)</f>
        <v>615058</v>
      </c>
      <c r="D377" s="35">
        <f>618600+43-3585</f>
        <v>615058</v>
      </c>
      <c r="E377" s="35">
        <v>0</v>
      </c>
      <c r="F377" s="149"/>
      <c r="G377" s="107"/>
    </row>
    <row r="378" spans="1:7" ht="10.5" customHeight="1">
      <c r="A378" s="56" t="s">
        <v>181</v>
      </c>
      <c r="B378" s="17" t="s">
        <v>182</v>
      </c>
      <c r="C378" s="34">
        <f>SUM(D378,E378)</f>
        <v>44584</v>
      </c>
      <c r="D378" s="34">
        <f>SUM(D379)</f>
        <v>0</v>
      </c>
      <c r="E378" s="34">
        <f>SUM(E379)</f>
        <v>44584</v>
      </c>
      <c r="F378" s="149"/>
      <c r="G378" s="107"/>
    </row>
    <row r="379" spans="1:7" ht="12.75">
      <c r="A379" s="52"/>
      <c r="B379" s="17" t="s">
        <v>29</v>
      </c>
      <c r="C379" s="34">
        <f>SUM(D379,E379)</f>
        <v>44584</v>
      </c>
      <c r="D379" s="34">
        <v>0</v>
      </c>
      <c r="E379" s="34">
        <f>45895-802-509</f>
        <v>44584</v>
      </c>
      <c r="F379" s="149"/>
      <c r="G379" s="107"/>
    </row>
    <row r="380" spans="1:7" ht="9.75" customHeight="1">
      <c r="A380" s="52"/>
      <c r="B380" s="17" t="s">
        <v>7</v>
      </c>
      <c r="C380" s="34"/>
      <c r="D380" s="34"/>
      <c r="E380" s="34"/>
      <c r="F380" s="149"/>
      <c r="G380" s="107"/>
    </row>
    <row r="381" spans="1:7" ht="12" customHeight="1">
      <c r="A381" s="53"/>
      <c r="B381" s="18" t="s">
        <v>110</v>
      </c>
      <c r="C381" s="35">
        <f>SUM(D381,E381)</f>
        <v>41179</v>
      </c>
      <c r="D381" s="35">
        <v>0</v>
      </c>
      <c r="E381" s="35">
        <f>42487-802-506</f>
        <v>41179</v>
      </c>
      <c r="F381" s="149"/>
      <c r="G381" s="107"/>
    </row>
    <row r="382" spans="1:7" ht="12" customHeight="1">
      <c r="A382" s="56" t="s">
        <v>317</v>
      </c>
      <c r="B382" s="17" t="s">
        <v>318</v>
      </c>
      <c r="C382" s="34">
        <f>SUM(D382,E382)</f>
        <v>1659808</v>
      </c>
      <c r="D382" s="34">
        <f>SUM(D383)</f>
        <v>0</v>
      </c>
      <c r="E382" s="34">
        <f>SUM(E383)</f>
        <v>1659808</v>
      </c>
      <c r="F382" s="149"/>
      <c r="G382" s="107"/>
    </row>
    <row r="383" spans="1:7" ht="12.75">
      <c r="A383" s="52"/>
      <c r="B383" s="17" t="s">
        <v>15</v>
      </c>
      <c r="C383" s="34">
        <f>SUM(D383,E383)</f>
        <v>1659808</v>
      </c>
      <c r="D383" s="34">
        <v>0</v>
      </c>
      <c r="E383" s="34">
        <f>2092500-432692</f>
        <v>1659808</v>
      </c>
      <c r="F383" s="149"/>
      <c r="G383" s="107"/>
    </row>
    <row r="384" spans="1:7" ht="9.75" customHeight="1">
      <c r="A384" s="52"/>
      <c r="B384" s="17" t="s">
        <v>7</v>
      </c>
      <c r="C384" s="34"/>
      <c r="D384" s="34"/>
      <c r="E384" s="34"/>
      <c r="F384" s="149"/>
      <c r="G384" s="107"/>
    </row>
    <row r="385" spans="1:7" ht="12.75">
      <c r="A385" s="52"/>
      <c r="B385" s="17" t="s">
        <v>8</v>
      </c>
      <c r="C385" s="35">
        <f aca="true" t="shared" si="12" ref="C385:C400">SUM(D385,E385)</f>
        <v>1659808</v>
      </c>
      <c r="D385" s="34">
        <v>0</v>
      </c>
      <c r="E385" s="34">
        <f>2092500-432692</f>
        <v>1659808</v>
      </c>
      <c r="F385" s="149"/>
      <c r="G385" s="107"/>
    </row>
    <row r="386" spans="1:7" ht="11.25" customHeight="1">
      <c r="A386" s="51" t="s">
        <v>183</v>
      </c>
      <c r="B386" s="16" t="s">
        <v>165</v>
      </c>
      <c r="C386" s="46">
        <f t="shared" si="12"/>
        <v>51625</v>
      </c>
      <c r="D386" s="33">
        <v>0</v>
      </c>
      <c r="E386" s="33">
        <f>SUM(E387)</f>
        <v>51625</v>
      </c>
      <c r="F386" s="149"/>
      <c r="G386" s="107"/>
    </row>
    <row r="387" spans="1:7" ht="12.75">
      <c r="A387" s="53"/>
      <c r="B387" s="18" t="s">
        <v>290</v>
      </c>
      <c r="C387" s="35">
        <f t="shared" si="12"/>
        <v>51625</v>
      </c>
      <c r="D387" s="35">
        <v>0</v>
      </c>
      <c r="E387" s="35">
        <f>51589+36</f>
        <v>51625</v>
      </c>
      <c r="F387" s="149"/>
      <c r="G387" s="107"/>
    </row>
    <row r="388" spans="1:7" ht="11.25" customHeight="1">
      <c r="A388" s="51" t="s">
        <v>184</v>
      </c>
      <c r="B388" s="16" t="s">
        <v>10</v>
      </c>
      <c r="C388" s="34">
        <f t="shared" si="12"/>
        <v>28984</v>
      </c>
      <c r="D388" s="33">
        <f>SUM(D389,)</f>
        <v>10950</v>
      </c>
      <c r="E388" s="33">
        <f>SUM(E389)</f>
        <v>18034</v>
      </c>
      <c r="F388" s="149"/>
      <c r="G388" s="107"/>
    </row>
    <row r="389" spans="1:7" ht="12.75">
      <c r="A389" s="52"/>
      <c r="B389" s="17" t="s">
        <v>15</v>
      </c>
      <c r="C389" s="34">
        <f t="shared" si="12"/>
        <v>28984</v>
      </c>
      <c r="D389" s="34">
        <v>10950</v>
      </c>
      <c r="E389" s="34">
        <v>18034</v>
      </c>
      <c r="F389" s="149"/>
      <c r="G389" s="107"/>
    </row>
    <row r="390" spans="1:8" s="3" customFormat="1" ht="15.75" customHeight="1">
      <c r="A390" s="57" t="s">
        <v>185</v>
      </c>
      <c r="B390" s="15" t="s">
        <v>186</v>
      </c>
      <c r="C390" s="42">
        <f t="shared" si="12"/>
        <v>23276800</v>
      </c>
      <c r="D390" s="42">
        <f>SUM(D391,D394,D397,D399,D405,D407,D412,D410,D403)</f>
        <v>23276800</v>
      </c>
      <c r="E390" s="42">
        <f>SUM(E391,E394,E397,E399,E405,E407,E412)</f>
        <v>0</v>
      </c>
      <c r="F390" s="148"/>
      <c r="G390" s="107"/>
      <c r="H390" s="6"/>
    </row>
    <row r="391" spans="1:8" s="3" customFormat="1" ht="12.75">
      <c r="A391" s="56" t="s">
        <v>187</v>
      </c>
      <c r="B391" s="17" t="s">
        <v>188</v>
      </c>
      <c r="C391" s="34">
        <f t="shared" si="12"/>
        <v>1585300</v>
      </c>
      <c r="D391" s="34">
        <f>SUM(D392,D393)</f>
        <v>1585300</v>
      </c>
      <c r="E391" s="34">
        <v>0</v>
      </c>
      <c r="F391" s="148"/>
      <c r="G391" s="107"/>
      <c r="H391" s="6"/>
    </row>
    <row r="392" spans="1:8" s="3" customFormat="1" ht="12.75">
      <c r="A392" s="52"/>
      <c r="B392" s="17" t="s">
        <v>15</v>
      </c>
      <c r="C392" s="34">
        <f t="shared" si="12"/>
        <v>568500</v>
      </c>
      <c r="D392" s="34">
        <f>777200-200000-8700</f>
        <v>568500</v>
      </c>
      <c r="E392" s="34">
        <v>0</v>
      </c>
      <c r="F392" s="148"/>
      <c r="G392" s="107"/>
      <c r="H392" s="6"/>
    </row>
    <row r="393" spans="1:8" s="3" customFormat="1" ht="12.75">
      <c r="A393" s="54"/>
      <c r="B393" s="18" t="s">
        <v>22</v>
      </c>
      <c r="C393" s="34">
        <f t="shared" si="12"/>
        <v>1016800</v>
      </c>
      <c r="D393" s="35">
        <v>1016800</v>
      </c>
      <c r="E393" s="35">
        <v>0</v>
      </c>
      <c r="F393" s="148"/>
      <c r="G393" s="107"/>
      <c r="H393" s="6"/>
    </row>
    <row r="394" spans="1:8" s="3" customFormat="1" ht="12.75">
      <c r="A394" s="51" t="s">
        <v>189</v>
      </c>
      <c r="B394" s="16" t="s">
        <v>190</v>
      </c>
      <c r="C394" s="33">
        <f t="shared" si="12"/>
        <v>133500</v>
      </c>
      <c r="D394" s="33">
        <f>SUM(D395,D396)</f>
        <v>133500</v>
      </c>
      <c r="E394" s="33">
        <f>SUM(E395)</f>
        <v>0</v>
      </c>
      <c r="F394" s="148"/>
      <c r="G394" s="107"/>
      <c r="H394" s="6"/>
    </row>
    <row r="395" spans="1:8" s="3" customFormat="1" ht="12.75">
      <c r="A395" s="52"/>
      <c r="B395" s="17" t="s">
        <v>29</v>
      </c>
      <c r="C395" s="34">
        <f t="shared" si="12"/>
        <v>98500</v>
      </c>
      <c r="D395" s="34">
        <f>100000-1500</f>
        <v>98500</v>
      </c>
      <c r="E395" s="34">
        <v>0</v>
      </c>
      <c r="F395" s="148"/>
      <c r="G395" s="107"/>
      <c r="H395" s="6"/>
    </row>
    <row r="396" spans="1:8" s="3" customFormat="1" ht="12.75">
      <c r="A396" s="52"/>
      <c r="B396" s="17" t="s">
        <v>22</v>
      </c>
      <c r="C396" s="34">
        <f t="shared" si="12"/>
        <v>35000</v>
      </c>
      <c r="D396" s="34">
        <v>35000</v>
      </c>
      <c r="E396" s="35">
        <v>0</v>
      </c>
      <c r="F396" s="148"/>
      <c r="G396" s="107"/>
      <c r="H396" s="6"/>
    </row>
    <row r="397" spans="1:8" s="3" customFormat="1" ht="12.75">
      <c r="A397" s="51" t="s">
        <v>191</v>
      </c>
      <c r="B397" s="16" t="s">
        <v>192</v>
      </c>
      <c r="C397" s="33">
        <f t="shared" si="12"/>
        <v>2640800</v>
      </c>
      <c r="D397" s="33">
        <f>SUM(D398)</f>
        <v>2640800</v>
      </c>
      <c r="E397" s="33">
        <f>SUM(E398)</f>
        <v>0</v>
      </c>
      <c r="F397" s="148"/>
      <c r="G397" s="107"/>
      <c r="H397" s="6"/>
    </row>
    <row r="398" spans="1:8" s="3" customFormat="1" ht="12.75">
      <c r="A398" s="54"/>
      <c r="B398" s="18" t="s">
        <v>15</v>
      </c>
      <c r="C398" s="35">
        <f t="shared" si="12"/>
        <v>2640800</v>
      </c>
      <c r="D398" s="35">
        <f>3110000-500000-39200+70000</f>
        <v>2640800</v>
      </c>
      <c r="E398" s="35">
        <v>0</v>
      </c>
      <c r="F398" s="148"/>
      <c r="G398" s="107"/>
      <c r="H398" s="6"/>
    </row>
    <row r="399" spans="1:8" s="3" customFormat="1" ht="12.75" customHeight="1">
      <c r="A399" s="56" t="s">
        <v>193</v>
      </c>
      <c r="B399" s="75" t="s">
        <v>194</v>
      </c>
      <c r="C399" s="34">
        <f t="shared" si="12"/>
        <v>2158000</v>
      </c>
      <c r="D399" s="34">
        <f>SUM(D400)</f>
        <v>2158000</v>
      </c>
      <c r="E399" s="34">
        <f>SUM(E400)</f>
        <v>0</v>
      </c>
      <c r="F399" s="148"/>
      <c r="G399" s="107"/>
      <c r="H399" s="6"/>
    </row>
    <row r="400" spans="1:8" s="3" customFormat="1" ht="12" customHeight="1">
      <c r="A400" s="52"/>
      <c r="B400" s="17" t="s">
        <v>15</v>
      </c>
      <c r="C400" s="34">
        <f t="shared" si="12"/>
        <v>2158000</v>
      </c>
      <c r="D400" s="34">
        <v>2158000</v>
      </c>
      <c r="E400" s="34">
        <v>0</v>
      </c>
      <c r="F400" s="148"/>
      <c r="G400" s="107"/>
      <c r="H400" s="6"/>
    </row>
    <row r="401" spans="1:8" s="3" customFormat="1" ht="9.75" customHeight="1">
      <c r="A401" s="52"/>
      <c r="B401" s="17" t="s">
        <v>7</v>
      </c>
      <c r="C401" s="38"/>
      <c r="D401" s="34"/>
      <c r="E401" s="34"/>
      <c r="F401" s="148"/>
      <c r="G401" s="107"/>
      <c r="H401" s="6"/>
    </row>
    <row r="402" spans="1:8" s="3" customFormat="1" ht="12.75">
      <c r="A402" s="53"/>
      <c r="B402" s="18" t="s">
        <v>110</v>
      </c>
      <c r="C402" s="35">
        <f aca="true" t="shared" si="13" ref="C402:C417">SUM(D402,E402)</f>
        <v>10000</v>
      </c>
      <c r="D402" s="35">
        <v>10000</v>
      </c>
      <c r="E402" s="35">
        <v>0</v>
      </c>
      <c r="F402" s="148"/>
      <c r="G402" s="107"/>
      <c r="H402" s="6"/>
    </row>
    <row r="403" spans="1:8" s="3" customFormat="1" ht="12" customHeight="1">
      <c r="A403" s="56" t="s">
        <v>305</v>
      </c>
      <c r="B403" s="17" t="s">
        <v>306</v>
      </c>
      <c r="C403" s="34">
        <f t="shared" si="13"/>
        <v>12800</v>
      </c>
      <c r="D403" s="34">
        <f>SUM(D404)</f>
        <v>12800</v>
      </c>
      <c r="E403" s="34">
        <v>0</v>
      </c>
      <c r="F403" s="148"/>
      <c r="G403" s="107"/>
      <c r="H403" s="6"/>
    </row>
    <row r="404" spans="1:8" s="3" customFormat="1" ht="12.75">
      <c r="A404" s="53"/>
      <c r="B404" s="18" t="s">
        <v>29</v>
      </c>
      <c r="C404" s="35">
        <f t="shared" si="13"/>
        <v>12800</v>
      </c>
      <c r="D404" s="35">
        <f>13000-200</f>
        <v>12800</v>
      </c>
      <c r="E404" s="35">
        <v>0</v>
      </c>
      <c r="F404" s="148"/>
      <c r="G404" s="107"/>
      <c r="H404" s="6"/>
    </row>
    <row r="405" spans="1:8" s="3" customFormat="1" ht="12.75">
      <c r="A405" s="56" t="s">
        <v>195</v>
      </c>
      <c r="B405" s="17" t="s">
        <v>196</v>
      </c>
      <c r="C405" s="34">
        <f t="shared" si="13"/>
        <v>364400</v>
      </c>
      <c r="D405" s="34">
        <f>SUM(D406)</f>
        <v>364400</v>
      </c>
      <c r="E405" s="34">
        <f>SUM(E406)</f>
        <v>0</v>
      </c>
      <c r="F405" s="148"/>
      <c r="G405" s="107"/>
      <c r="H405" s="6"/>
    </row>
    <row r="406" spans="1:8" s="3" customFormat="1" ht="12" customHeight="1">
      <c r="A406" s="54"/>
      <c r="B406" s="18" t="s">
        <v>29</v>
      </c>
      <c r="C406" s="35">
        <f t="shared" si="13"/>
        <v>364400</v>
      </c>
      <c r="D406" s="35">
        <f>450000-80000-5600</f>
        <v>364400</v>
      </c>
      <c r="E406" s="35">
        <v>0</v>
      </c>
      <c r="F406" s="148"/>
      <c r="G406" s="107"/>
      <c r="H406" s="6"/>
    </row>
    <row r="407" spans="1:8" s="3" customFormat="1" ht="12.75">
      <c r="A407" s="56" t="s">
        <v>197</v>
      </c>
      <c r="B407" s="17" t="s">
        <v>198</v>
      </c>
      <c r="C407" s="34">
        <f t="shared" si="13"/>
        <v>7126000</v>
      </c>
      <c r="D407" s="34">
        <f>SUM(D409,D408)</f>
        <v>7126000</v>
      </c>
      <c r="E407" s="34">
        <f>SUM(E409)</f>
        <v>0</v>
      </c>
      <c r="F407" s="148"/>
      <c r="G407" s="107"/>
      <c r="H407" s="6"/>
    </row>
    <row r="408" spans="1:8" s="3" customFormat="1" ht="12.75">
      <c r="A408" s="56"/>
      <c r="B408" s="17" t="s">
        <v>29</v>
      </c>
      <c r="C408" s="34">
        <f t="shared" si="13"/>
        <v>6826000</v>
      </c>
      <c r="D408" s="34">
        <f>7500000-500000-105000-70000+1000</f>
        <v>6826000</v>
      </c>
      <c r="E408" s="34">
        <v>0</v>
      </c>
      <c r="F408" s="148"/>
      <c r="G408" s="107"/>
      <c r="H408" s="6"/>
    </row>
    <row r="409" spans="1:8" s="3" customFormat="1" ht="12.75">
      <c r="A409" s="54"/>
      <c r="B409" s="18" t="s">
        <v>22</v>
      </c>
      <c r="C409" s="35">
        <f t="shared" si="13"/>
        <v>300000</v>
      </c>
      <c r="D409" s="35">
        <v>300000</v>
      </c>
      <c r="E409" s="35">
        <v>0</v>
      </c>
      <c r="F409" s="148"/>
      <c r="G409" s="107"/>
      <c r="H409" s="6"/>
    </row>
    <row r="410" spans="1:8" s="3" customFormat="1" ht="19.5" customHeight="1">
      <c r="A410" s="51" t="s">
        <v>199</v>
      </c>
      <c r="B410" s="16" t="s">
        <v>200</v>
      </c>
      <c r="C410" s="44">
        <f t="shared" si="13"/>
        <v>25000</v>
      </c>
      <c r="D410" s="44">
        <f>SUM(D411)</f>
        <v>25000</v>
      </c>
      <c r="E410" s="44">
        <v>0</v>
      </c>
      <c r="F410" s="148"/>
      <c r="G410" s="107"/>
      <c r="H410" s="6"/>
    </row>
    <row r="411" spans="1:8" s="3" customFormat="1" ht="11.25" customHeight="1">
      <c r="A411" s="54"/>
      <c r="B411" s="18" t="s">
        <v>29</v>
      </c>
      <c r="C411" s="35">
        <f t="shared" si="13"/>
        <v>25000</v>
      </c>
      <c r="D411" s="35">
        <v>25000</v>
      </c>
      <c r="E411" s="35">
        <v>0</v>
      </c>
      <c r="F411" s="148"/>
      <c r="G411" s="107"/>
      <c r="H411" s="6"/>
    </row>
    <row r="412" spans="1:8" s="3" customFormat="1" ht="12.75">
      <c r="A412" s="56" t="s">
        <v>201</v>
      </c>
      <c r="B412" s="17" t="s">
        <v>10</v>
      </c>
      <c r="C412" s="34">
        <f t="shared" si="13"/>
        <v>9231000</v>
      </c>
      <c r="D412" s="34">
        <f>SUM(D413,D414)</f>
        <v>9231000</v>
      </c>
      <c r="E412" s="34">
        <f>SUM(E413)</f>
        <v>0</v>
      </c>
      <c r="F412" s="148"/>
      <c r="G412" s="107"/>
      <c r="H412" s="6"/>
    </row>
    <row r="413" spans="1:8" s="3" customFormat="1" ht="12.75">
      <c r="A413" s="56"/>
      <c r="B413" s="17" t="s">
        <v>29</v>
      </c>
      <c r="C413" s="34">
        <f t="shared" si="13"/>
        <v>440300</v>
      </c>
      <c r="D413" s="34">
        <f>441300-1000</f>
        <v>440300</v>
      </c>
      <c r="E413" s="34">
        <v>0</v>
      </c>
      <c r="F413" s="148"/>
      <c r="G413" s="107"/>
      <c r="H413" s="6"/>
    </row>
    <row r="414" spans="1:8" s="3" customFormat="1" ht="12" customHeight="1">
      <c r="A414" s="54"/>
      <c r="B414" s="18" t="s">
        <v>22</v>
      </c>
      <c r="C414" s="35">
        <f t="shared" si="13"/>
        <v>8790700</v>
      </c>
      <c r="D414" s="35">
        <v>8790700</v>
      </c>
      <c r="E414" s="35">
        <v>0</v>
      </c>
      <c r="F414" s="148"/>
      <c r="G414" s="107"/>
      <c r="H414" s="6"/>
    </row>
    <row r="415" spans="1:8" s="3" customFormat="1" ht="15" customHeight="1">
      <c r="A415" s="57" t="s">
        <v>202</v>
      </c>
      <c r="B415" s="15" t="s">
        <v>203</v>
      </c>
      <c r="C415" s="42">
        <f t="shared" si="13"/>
        <v>8094700</v>
      </c>
      <c r="D415" s="42">
        <f>SUM(D416,D420,D424,D428,D433,D437,D441,D445,D449,D454,D456)</f>
        <v>4085200</v>
      </c>
      <c r="E415" s="42">
        <f>SUM(E416,E420,E424,E428,E433,E437,E441,E445,E449,E454,E456)</f>
        <v>4009500</v>
      </c>
      <c r="F415" s="148"/>
      <c r="G415" s="107"/>
      <c r="H415" s="6"/>
    </row>
    <row r="416" spans="1:8" s="3" customFormat="1" ht="13.5" customHeight="1">
      <c r="A416" s="56" t="s">
        <v>204</v>
      </c>
      <c r="B416" s="17" t="s">
        <v>205</v>
      </c>
      <c r="C416" s="34">
        <f t="shared" si="13"/>
        <v>241300</v>
      </c>
      <c r="D416" s="34">
        <f>SUM(D417)</f>
        <v>241300</v>
      </c>
      <c r="E416" s="34">
        <f>SUM(E417)</f>
        <v>0</v>
      </c>
      <c r="F416" s="148"/>
      <c r="G416" s="107"/>
      <c r="H416" s="6"/>
    </row>
    <row r="417" spans="1:8" s="3" customFormat="1" ht="12.75">
      <c r="A417" s="56"/>
      <c r="B417" s="17" t="s">
        <v>29</v>
      </c>
      <c r="C417" s="34">
        <f t="shared" si="13"/>
        <v>241300</v>
      </c>
      <c r="D417" s="34">
        <f>245000-3700</f>
        <v>241300</v>
      </c>
      <c r="E417" s="34">
        <v>0</v>
      </c>
      <c r="F417" s="148"/>
      <c r="G417" s="107"/>
      <c r="H417" s="6"/>
    </row>
    <row r="418" spans="1:8" s="3" customFormat="1" ht="9.75" customHeight="1">
      <c r="A418" s="56"/>
      <c r="B418" s="17" t="s">
        <v>7</v>
      </c>
      <c r="C418" s="34"/>
      <c r="D418" s="34"/>
      <c r="E418" s="34"/>
      <c r="F418" s="148"/>
      <c r="G418" s="107"/>
      <c r="H418" s="6"/>
    </row>
    <row r="419" spans="1:8" s="3" customFormat="1" ht="10.5" customHeight="1">
      <c r="A419" s="54"/>
      <c r="B419" s="18" t="s">
        <v>8</v>
      </c>
      <c r="C419" s="35">
        <f>SUM(D419,E419)</f>
        <v>241300</v>
      </c>
      <c r="D419" s="35">
        <f>245000-3700</f>
        <v>241300</v>
      </c>
      <c r="E419" s="35">
        <v>0</v>
      </c>
      <c r="F419" s="148"/>
      <c r="G419" s="107"/>
      <c r="H419" s="6"/>
    </row>
    <row r="420" spans="1:8" s="3" customFormat="1" ht="9.75" customHeight="1">
      <c r="A420" s="56" t="s">
        <v>206</v>
      </c>
      <c r="B420" s="17" t="s">
        <v>282</v>
      </c>
      <c r="C420" s="34">
        <f>SUM(D420,E420)</f>
        <v>120000</v>
      </c>
      <c r="D420" s="34">
        <f>SUM(D421)</f>
        <v>120000</v>
      </c>
      <c r="E420" s="34">
        <f>SUM(E421)</f>
        <v>0</v>
      </c>
      <c r="F420" s="148"/>
      <c r="G420" s="107"/>
      <c r="H420" s="6"/>
    </row>
    <row r="421" spans="1:8" s="3" customFormat="1" ht="12" customHeight="1">
      <c r="A421" s="56"/>
      <c r="B421" s="17" t="s">
        <v>15</v>
      </c>
      <c r="C421" s="34">
        <f>SUM(D421,E421)</f>
        <v>120000</v>
      </c>
      <c r="D421" s="34">
        <f>200000-100000-1500+21500</f>
        <v>120000</v>
      </c>
      <c r="E421" s="34">
        <v>0</v>
      </c>
      <c r="F421" s="148"/>
      <c r="G421" s="107"/>
      <c r="H421" s="6"/>
    </row>
    <row r="422" spans="1:8" s="3" customFormat="1" ht="9" customHeight="1">
      <c r="A422" s="56"/>
      <c r="B422" s="17" t="s">
        <v>7</v>
      </c>
      <c r="C422" s="34"/>
      <c r="D422" s="34"/>
      <c r="E422" s="34"/>
      <c r="F422" s="148"/>
      <c r="G422" s="107"/>
      <c r="H422" s="6"/>
    </row>
    <row r="423" spans="1:8" s="3" customFormat="1" ht="10.5" customHeight="1">
      <c r="A423" s="54"/>
      <c r="B423" s="18" t="s">
        <v>8</v>
      </c>
      <c r="C423" s="35">
        <f>SUM(D423,E423)</f>
        <v>120000</v>
      </c>
      <c r="D423" s="35">
        <f>200000-100000-1500+21500</f>
        <v>120000</v>
      </c>
      <c r="E423" s="35">
        <v>0</v>
      </c>
      <c r="F423" s="148"/>
      <c r="G423" s="107"/>
      <c r="H423" s="6"/>
    </row>
    <row r="424" spans="1:8" s="3" customFormat="1" ht="13.5" customHeight="1">
      <c r="A424" s="56" t="s">
        <v>207</v>
      </c>
      <c r="B424" s="17" t="s">
        <v>208</v>
      </c>
      <c r="C424" s="34">
        <f>SUM(D424,E424)</f>
        <v>2730400</v>
      </c>
      <c r="D424" s="34">
        <f>SUM(D425)</f>
        <v>295400</v>
      </c>
      <c r="E424" s="33">
        <f>SUM(E425)</f>
        <v>2435000</v>
      </c>
      <c r="F424" s="148"/>
      <c r="G424" s="107"/>
      <c r="H424" s="6"/>
    </row>
    <row r="425" spans="1:8" s="3" customFormat="1" ht="12.75">
      <c r="A425" s="56"/>
      <c r="B425" s="17" t="s">
        <v>29</v>
      </c>
      <c r="C425" s="34">
        <f>SUM(D425,E425)</f>
        <v>2730400</v>
      </c>
      <c r="D425" s="34">
        <f>423600-123700-4500</f>
        <v>295400</v>
      </c>
      <c r="E425" s="34">
        <f>2472000-37000</f>
        <v>2435000</v>
      </c>
      <c r="F425" s="148"/>
      <c r="G425" s="107"/>
      <c r="H425" s="6"/>
    </row>
    <row r="426" spans="1:8" s="3" customFormat="1" ht="9.75" customHeight="1">
      <c r="A426" s="56"/>
      <c r="B426" s="17" t="s">
        <v>7</v>
      </c>
      <c r="C426" s="34"/>
      <c r="D426" s="34"/>
      <c r="E426" s="34"/>
      <c r="F426" s="148"/>
      <c r="G426" s="107"/>
      <c r="H426" s="6"/>
    </row>
    <row r="427" spans="1:8" s="3" customFormat="1" ht="11.25" customHeight="1">
      <c r="A427" s="56"/>
      <c r="B427" s="17" t="s">
        <v>8</v>
      </c>
      <c r="C427" s="34">
        <f>SUM(D427,E427)</f>
        <v>2730400</v>
      </c>
      <c r="D427" s="34">
        <f>423600-123700-4500</f>
        <v>295400</v>
      </c>
      <c r="E427" s="34">
        <f>2472000-37000</f>
        <v>2435000</v>
      </c>
      <c r="F427" s="148"/>
      <c r="G427" s="107"/>
      <c r="H427" s="6"/>
    </row>
    <row r="428" spans="1:7" ht="10.5" customHeight="1">
      <c r="A428" s="51" t="s">
        <v>209</v>
      </c>
      <c r="B428" s="16" t="s">
        <v>210</v>
      </c>
      <c r="C428" s="33">
        <f>SUM(D428,E428)</f>
        <v>1317100</v>
      </c>
      <c r="D428" s="33">
        <f>SUM(D429,D432)</f>
        <v>1317100</v>
      </c>
      <c r="E428" s="33">
        <f>SUM(E429)</f>
        <v>0</v>
      </c>
      <c r="F428" s="149"/>
      <c r="G428" s="107"/>
    </row>
    <row r="429" spans="1:7" ht="9.75" customHeight="1">
      <c r="A429" s="56"/>
      <c r="B429" s="17" t="s">
        <v>29</v>
      </c>
      <c r="C429" s="34">
        <f>SUM(D429,E429)</f>
        <v>1257100</v>
      </c>
      <c r="D429" s="34">
        <f>1390000-113700-19200</f>
        <v>1257100</v>
      </c>
      <c r="E429" s="34">
        <v>0</v>
      </c>
      <c r="F429" s="149"/>
      <c r="G429" s="107"/>
    </row>
    <row r="430" spans="1:7" ht="9" customHeight="1">
      <c r="A430" s="56"/>
      <c r="B430" s="17" t="s">
        <v>7</v>
      </c>
      <c r="C430" s="34"/>
      <c r="D430" s="34"/>
      <c r="E430" s="34"/>
      <c r="F430" s="149"/>
      <c r="G430" s="107"/>
    </row>
    <row r="431" spans="1:7" ht="9.75" customHeight="1">
      <c r="A431" s="56"/>
      <c r="B431" s="17" t="s">
        <v>8</v>
      </c>
      <c r="C431" s="34">
        <f>SUM(D431,E431)</f>
        <v>1257100</v>
      </c>
      <c r="D431" s="34">
        <f>1390000-113700-19200</f>
        <v>1257100</v>
      </c>
      <c r="E431" s="34">
        <v>0</v>
      </c>
      <c r="F431" s="149"/>
      <c r="G431" s="107"/>
    </row>
    <row r="432" spans="1:8" s="3" customFormat="1" ht="9.75" customHeight="1">
      <c r="A432" s="54"/>
      <c r="B432" s="18" t="s">
        <v>22</v>
      </c>
      <c r="C432" s="35">
        <f>SUM(D432,E432)</f>
        <v>60000</v>
      </c>
      <c r="D432" s="35">
        <v>60000</v>
      </c>
      <c r="E432" s="35">
        <v>0</v>
      </c>
      <c r="F432" s="148"/>
      <c r="G432" s="107"/>
      <c r="H432" s="6"/>
    </row>
    <row r="433" spans="1:7" ht="12.75">
      <c r="A433" s="56" t="s">
        <v>211</v>
      </c>
      <c r="B433" s="17" t="s">
        <v>212</v>
      </c>
      <c r="C433" s="34">
        <f>SUM(D433,E433)</f>
        <v>258500</v>
      </c>
      <c r="D433" s="34">
        <f>SUM(D434)</f>
        <v>31000</v>
      </c>
      <c r="E433" s="34">
        <f>SUM(E434)</f>
        <v>227500</v>
      </c>
      <c r="F433" s="149"/>
      <c r="G433" s="107"/>
    </row>
    <row r="434" spans="1:7" ht="12.75">
      <c r="A434" s="56"/>
      <c r="B434" s="17" t="s">
        <v>15</v>
      </c>
      <c r="C434" s="34">
        <f>SUM(D434,E434)</f>
        <v>258500</v>
      </c>
      <c r="D434" s="34">
        <f>74000-42500-500</f>
        <v>31000</v>
      </c>
      <c r="E434" s="34">
        <f>231000-3500</f>
        <v>227500</v>
      </c>
      <c r="F434" s="149"/>
      <c r="G434" s="107"/>
    </row>
    <row r="435" spans="1:7" ht="9" customHeight="1">
      <c r="A435" s="56"/>
      <c r="B435" s="17" t="s">
        <v>7</v>
      </c>
      <c r="C435" s="34"/>
      <c r="D435" s="34"/>
      <c r="E435" s="34"/>
      <c r="F435" s="149"/>
      <c r="G435" s="107"/>
    </row>
    <row r="436" spans="1:7" ht="12.75">
      <c r="A436" s="56"/>
      <c r="B436" s="17" t="s">
        <v>8</v>
      </c>
      <c r="C436" s="34">
        <f>SUM(D436,E436)</f>
        <v>258500</v>
      </c>
      <c r="D436" s="34">
        <f>74000-42500-500</f>
        <v>31000</v>
      </c>
      <c r="E436" s="34">
        <f>231000-3500</f>
        <v>227500</v>
      </c>
      <c r="F436" s="149"/>
      <c r="G436" s="107"/>
    </row>
    <row r="437" spans="1:7" ht="12.75">
      <c r="A437" s="51" t="s">
        <v>213</v>
      </c>
      <c r="B437" s="16" t="s">
        <v>214</v>
      </c>
      <c r="C437" s="33">
        <f>SUM(D437,E437)</f>
        <v>61000</v>
      </c>
      <c r="D437" s="33">
        <f>SUM(D438)</f>
        <v>61000</v>
      </c>
      <c r="E437" s="33">
        <f>SUM(E438)</f>
        <v>0</v>
      </c>
      <c r="F437" s="149"/>
      <c r="G437" s="107"/>
    </row>
    <row r="438" spans="1:7" ht="12.75">
      <c r="A438" s="56"/>
      <c r="B438" s="17" t="s">
        <v>29</v>
      </c>
      <c r="C438" s="34">
        <f>SUM(D438,E438)</f>
        <v>61000</v>
      </c>
      <c r="D438" s="34">
        <f>85000-23000-1000</f>
        <v>61000</v>
      </c>
      <c r="E438" s="34">
        <v>0</v>
      </c>
      <c r="F438" s="149"/>
      <c r="G438" s="107"/>
    </row>
    <row r="439" spans="1:7" ht="9.75" customHeight="1">
      <c r="A439" s="56"/>
      <c r="B439" s="17" t="s">
        <v>7</v>
      </c>
      <c r="C439" s="34"/>
      <c r="D439" s="34"/>
      <c r="E439" s="34"/>
      <c r="F439" s="149"/>
      <c r="G439" s="107"/>
    </row>
    <row r="440" spans="1:7" ht="12.75">
      <c r="A440" s="54"/>
      <c r="B440" s="18" t="s">
        <v>8</v>
      </c>
      <c r="C440" s="35">
        <f>SUM(D440,E440)</f>
        <v>61000</v>
      </c>
      <c r="D440" s="35">
        <f>85000-23000-1000</f>
        <v>61000</v>
      </c>
      <c r="E440" s="35">
        <v>0</v>
      </c>
      <c r="F440" s="149"/>
      <c r="G440" s="107"/>
    </row>
    <row r="441" spans="1:7" ht="12.75">
      <c r="A441" s="56" t="s">
        <v>215</v>
      </c>
      <c r="B441" s="17" t="s">
        <v>216</v>
      </c>
      <c r="C441" s="34">
        <f>SUM(D441,E441)</f>
        <v>2433000</v>
      </c>
      <c r="D441" s="34">
        <f>SUM(D442,)</f>
        <v>1086000</v>
      </c>
      <c r="E441" s="33">
        <f>SUM(E442)</f>
        <v>1347000</v>
      </c>
      <c r="F441" s="149"/>
      <c r="G441" s="107"/>
    </row>
    <row r="442" spans="1:7" ht="12.75">
      <c r="A442" s="56"/>
      <c r="B442" s="17" t="s">
        <v>15</v>
      </c>
      <c r="C442" s="34">
        <f>SUM(D442,E442)</f>
        <v>2433000</v>
      </c>
      <c r="D442" s="34">
        <f>1204100-154200-15900+52000</f>
        <v>1086000</v>
      </c>
      <c r="E442" s="34">
        <f>1367400-20400</f>
        <v>1347000</v>
      </c>
      <c r="F442" s="149"/>
      <c r="G442" s="107"/>
    </row>
    <row r="443" spans="1:7" ht="9" customHeight="1">
      <c r="A443" s="56"/>
      <c r="B443" s="17" t="s">
        <v>7</v>
      </c>
      <c r="C443" s="34"/>
      <c r="D443" s="34"/>
      <c r="E443" s="34"/>
      <c r="F443" s="149"/>
      <c r="G443" s="107"/>
    </row>
    <row r="444" spans="1:7" ht="10.5" customHeight="1">
      <c r="A444" s="54"/>
      <c r="B444" s="18" t="s">
        <v>8</v>
      </c>
      <c r="C444" s="35">
        <f>SUM(D444,E444)</f>
        <v>2433000</v>
      </c>
      <c r="D444" s="35">
        <f>1204100-154200-15900+52000</f>
        <v>1086000</v>
      </c>
      <c r="E444" s="35">
        <f>1367400-20400</f>
        <v>1347000</v>
      </c>
      <c r="F444" s="149"/>
      <c r="G444" s="107"/>
    </row>
    <row r="445" spans="1:7" ht="10.5" customHeight="1">
      <c r="A445" s="56" t="s">
        <v>217</v>
      </c>
      <c r="B445" s="17" t="s">
        <v>218</v>
      </c>
      <c r="C445" s="34">
        <f>SUM(D445,E445)</f>
        <v>19700</v>
      </c>
      <c r="D445" s="34">
        <f>SUM(D446)</f>
        <v>19700</v>
      </c>
      <c r="E445" s="34">
        <f>SUM(E446)</f>
        <v>0</v>
      </c>
      <c r="F445" s="149"/>
      <c r="G445" s="107"/>
    </row>
    <row r="446" spans="1:7" ht="12.75">
      <c r="A446" s="56"/>
      <c r="B446" s="17" t="s">
        <v>15</v>
      </c>
      <c r="C446" s="34">
        <f>SUM(D446,E446)</f>
        <v>19700</v>
      </c>
      <c r="D446" s="34">
        <f>90000-70000-300</f>
        <v>19700</v>
      </c>
      <c r="E446" s="34">
        <v>0</v>
      </c>
      <c r="F446" s="149"/>
      <c r="G446" s="107"/>
    </row>
    <row r="447" spans="1:7" ht="9.75" customHeight="1">
      <c r="A447" s="56"/>
      <c r="B447" s="17" t="s">
        <v>7</v>
      </c>
      <c r="C447" s="34"/>
      <c r="D447" s="34"/>
      <c r="E447" s="34"/>
      <c r="F447" s="149"/>
      <c r="G447" s="107"/>
    </row>
    <row r="448" spans="1:7" ht="12.75">
      <c r="A448" s="54"/>
      <c r="B448" s="18" t="s">
        <v>8</v>
      </c>
      <c r="C448" s="35">
        <f>SUM(D448,E448)</f>
        <v>19700</v>
      </c>
      <c r="D448" s="35">
        <f>90000-70000-300</f>
        <v>19700</v>
      </c>
      <c r="E448" s="35">
        <v>0</v>
      </c>
      <c r="F448" s="149"/>
      <c r="G448" s="107"/>
    </row>
    <row r="449" spans="1:7" ht="12.75" customHeight="1">
      <c r="A449" s="56" t="s">
        <v>219</v>
      </c>
      <c r="B449" s="17" t="s">
        <v>271</v>
      </c>
      <c r="C449" s="34">
        <f>SUM(D449,E449)</f>
        <v>458000</v>
      </c>
      <c r="D449" s="34">
        <f>SUM(D450)</f>
        <v>458000</v>
      </c>
      <c r="E449" s="34">
        <f>SUM(E450)</f>
        <v>0</v>
      </c>
      <c r="F449" s="149"/>
      <c r="G449" s="107"/>
    </row>
    <row r="450" spans="1:7" ht="12.75">
      <c r="A450" s="56"/>
      <c r="B450" s="17" t="s">
        <v>29</v>
      </c>
      <c r="C450" s="34">
        <f>SUM(D450,E450)</f>
        <v>458000</v>
      </c>
      <c r="D450" s="34">
        <f>465000-7000</f>
        <v>458000</v>
      </c>
      <c r="E450" s="34">
        <v>0</v>
      </c>
      <c r="F450" s="149"/>
      <c r="G450" s="107"/>
    </row>
    <row r="451" spans="1:7" ht="9" customHeight="1">
      <c r="A451" s="56"/>
      <c r="B451" s="17" t="s">
        <v>7</v>
      </c>
      <c r="C451" s="34"/>
      <c r="D451" s="34"/>
      <c r="E451" s="34"/>
      <c r="F451" s="149"/>
      <c r="G451" s="107"/>
    </row>
    <row r="452" spans="1:7" ht="12.75">
      <c r="A452" s="56"/>
      <c r="B452" s="17" t="s">
        <v>110</v>
      </c>
      <c r="C452" s="34">
        <f aca="true" t="shared" si="14" ref="C452:C457">SUM(D452,E452)</f>
        <v>1900</v>
      </c>
      <c r="D452" s="34">
        <f>2000-100</f>
        <v>1900</v>
      </c>
      <c r="E452" s="34">
        <v>0</v>
      </c>
      <c r="F452" s="149"/>
      <c r="G452" s="107"/>
    </row>
    <row r="453" spans="1:7" ht="12.75">
      <c r="A453" s="54"/>
      <c r="B453" s="18" t="s">
        <v>8</v>
      </c>
      <c r="C453" s="35">
        <f t="shared" si="14"/>
        <v>305000</v>
      </c>
      <c r="D453" s="35">
        <f>305000</f>
        <v>305000</v>
      </c>
      <c r="E453" s="35">
        <v>0</v>
      </c>
      <c r="F453" s="149"/>
      <c r="G453" s="107"/>
    </row>
    <row r="454" spans="1:7" ht="12.75" customHeight="1">
      <c r="A454" s="56" t="s">
        <v>220</v>
      </c>
      <c r="B454" s="17" t="s">
        <v>221</v>
      </c>
      <c r="C454" s="34">
        <f t="shared" si="14"/>
        <v>29000</v>
      </c>
      <c r="D454" s="34">
        <f>SUM(D455)</f>
        <v>29000</v>
      </c>
      <c r="E454" s="34">
        <f>SUM(E455)</f>
        <v>0</v>
      </c>
      <c r="F454" s="149"/>
      <c r="G454" s="107"/>
    </row>
    <row r="455" spans="1:7" ht="12.75">
      <c r="A455" s="56"/>
      <c r="B455" s="17" t="s">
        <v>297</v>
      </c>
      <c r="C455" s="34">
        <f t="shared" si="14"/>
        <v>29000</v>
      </c>
      <c r="D455" s="34">
        <f>30000-1000</f>
        <v>29000</v>
      </c>
      <c r="E455" s="35">
        <v>0</v>
      </c>
      <c r="F455" s="149"/>
      <c r="G455" s="107"/>
    </row>
    <row r="456" spans="1:7" ht="12.75">
      <c r="A456" s="51" t="s">
        <v>222</v>
      </c>
      <c r="B456" s="16" t="s">
        <v>10</v>
      </c>
      <c r="C456" s="33">
        <f t="shared" si="14"/>
        <v>426700</v>
      </c>
      <c r="D456" s="33">
        <f>SUM(D457,)</f>
        <v>426700</v>
      </c>
      <c r="E456" s="33">
        <f>SUM(E457)</f>
        <v>0</v>
      </c>
      <c r="F456" s="149"/>
      <c r="G456" s="107"/>
    </row>
    <row r="457" spans="1:7" ht="12.75">
      <c r="A457" s="56"/>
      <c r="B457" s="17" t="s">
        <v>15</v>
      </c>
      <c r="C457" s="34">
        <f t="shared" si="14"/>
        <v>426700</v>
      </c>
      <c r="D457" s="34">
        <v>426700</v>
      </c>
      <c r="E457" s="34">
        <v>0</v>
      </c>
      <c r="F457" s="149"/>
      <c r="G457" s="107"/>
    </row>
    <row r="458" spans="1:7" ht="9" customHeight="1">
      <c r="A458" s="56"/>
      <c r="B458" s="17" t="s">
        <v>7</v>
      </c>
      <c r="C458" s="34"/>
      <c r="D458" s="34"/>
      <c r="E458" s="34"/>
      <c r="F458" s="149"/>
      <c r="G458" s="107"/>
    </row>
    <row r="459" spans="1:7" ht="12.75">
      <c r="A459" s="54"/>
      <c r="B459" s="18" t="s">
        <v>110</v>
      </c>
      <c r="C459" s="35">
        <f aca="true" t="shared" si="15" ref="C459:C465">SUM(D459,E459)</f>
        <v>88500</v>
      </c>
      <c r="D459" s="35">
        <f>90000-1500</f>
        <v>88500</v>
      </c>
      <c r="E459" s="35">
        <v>0</v>
      </c>
      <c r="F459" s="149"/>
      <c r="G459" s="107"/>
    </row>
    <row r="460" spans="1:8" s="2" customFormat="1" ht="24" customHeight="1">
      <c r="A460" s="57" t="s">
        <v>223</v>
      </c>
      <c r="B460" s="15" t="s">
        <v>224</v>
      </c>
      <c r="C460" s="42">
        <f t="shared" si="15"/>
        <v>2000</v>
      </c>
      <c r="D460" s="42">
        <f>SUM(D461)</f>
        <v>2000</v>
      </c>
      <c r="E460" s="42">
        <f>SUM(E461)</f>
        <v>0</v>
      </c>
      <c r="F460" s="155"/>
      <c r="G460" s="125"/>
      <c r="H460" s="120"/>
    </row>
    <row r="461" spans="1:7" ht="12.75">
      <c r="A461" s="56" t="s">
        <v>225</v>
      </c>
      <c r="B461" s="17" t="s">
        <v>226</v>
      </c>
      <c r="C461" s="34">
        <f t="shared" si="15"/>
        <v>2000</v>
      </c>
      <c r="D461" s="34">
        <f>SUM(D462)</f>
        <v>2000</v>
      </c>
      <c r="E461" s="34">
        <f>SUM(E462)</f>
        <v>0</v>
      </c>
      <c r="F461" s="149"/>
      <c r="G461" s="107"/>
    </row>
    <row r="462" spans="1:7" ht="12.75">
      <c r="A462" s="54"/>
      <c r="B462" s="18" t="s">
        <v>297</v>
      </c>
      <c r="C462" s="35">
        <f t="shared" si="15"/>
        <v>2000</v>
      </c>
      <c r="D462" s="35">
        <f>2100-100</f>
        <v>2000</v>
      </c>
      <c r="E462" s="35">
        <v>0</v>
      </c>
      <c r="F462" s="149"/>
      <c r="G462" s="107"/>
    </row>
    <row r="463" spans="1:7" ht="13.5" customHeight="1">
      <c r="A463" s="57" t="s">
        <v>227</v>
      </c>
      <c r="B463" s="15" t="s">
        <v>228</v>
      </c>
      <c r="C463" s="42">
        <f t="shared" si="15"/>
        <v>9471285</v>
      </c>
      <c r="D463" s="42">
        <f>SUM(D464,D469,D473,D477)</f>
        <v>9471285</v>
      </c>
      <c r="E463" s="42">
        <f>SUM(E464,E469,E473,E477)</f>
        <v>0</v>
      </c>
      <c r="F463" s="149"/>
      <c r="G463" s="107"/>
    </row>
    <row r="464" spans="1:7" ht="12.75">
      <c r="A464" s="56" t="s">
        <v>229</v>
      </c>
      <c r="B464" s="17" t="s">
        <v>230</v>
      </c>
      <c r="C464" s="34">
        <f t="shared" si="15"/>
        <v>4547000</v>
      </c>
      <c r="D464" s="34">
        <f>SUM(D465,D468)</f>
        <v>4547000</v>
      </c>
      <c r="E464" s="34">
        <f>SUM(E465)</f>
        <v>0</v>
      </c>
      <c r="F464" s="149"/>
      <c r="G464" s="107"/>
    </row>
    <row r="465" spans="1:7" ht="12.75">
      <c r="A465" s="56"/>
      <c r="B465" s="17" t="s">
        <v>29</v>
      </c>
      <c r="C465" s="34">
        <f t="shared" si="15"/>
        <v>197000</v>
      </c>
      <c r="D465" s="34">
        <f>210000-10000-3000</f>
        <v>197000</v>
      </c>
      <c r="E465" s="34">
        <v>0</v>
      </c>
      <c r="F465" s="149"/>
      <c r="G465" s="107"/>
    </row>
    <row r="466" spans="1:7" ht="9" customHeight="1">
      <c r="A466" s="56"/>
      <c r="B466" s="17" t="s">
        <v>7</v>
      </c>
      <c r="C466" s="34"/>
      <c r="D466" s="34"/>
      <c r="E466" s="34"/>
      <c r="F466" s="149"/>
      <c r="G466" s="107"/>
    </row>
    <row r="467" spans="1:8" s="3" customFormat="1" ht="12.75">
      <c r="A467" s="56"/>
      <c r="B467" s="17" t="s">
        <v>8</v>
      </c>
      <c r="C467" s="34">
        <f>SUM(D467,E467)</f>
        <v>197000</v>
      </c>
      <c r="D467" s="34">
        <f>210000-10000-3000</f>
        <v>197000</v>
      </c>
      <c r="E467" s="34">
        <v>0</v>
      </c>
      <c r="F467" s="148"/>
      <c r="G467" s="107"/>
      <c r="H467" s="6"/>
    </row>
    <row r="468" spans="1:8" s="3" customFormat="1" ht="12.75">
      <c r="A468" s="54"/>
      <c r="B468" s="18" t="s">
        <v>22</v>
      </c>
      <c r="C468" s="35">
        <f>SUM(D468,E468)</f>
        <v>4350000</v>
      </c>
      <c r="D468" s="35">
        <v>4350000</v>
      </c>
      <c r="E468" s="35">
        <v>0</v>
      </c>
      <c r="F468" s="148"/>
      <c r="G468" s="107"/>
      <c r="H468" s="6"/>
    </row>
    <row r="469" spans="1:8" s="3" customFormat="1" ht="12.75">
      <c r="A469" s="56" t="s">
        <v>231</v>
      </c>
      <c r="B469" s="17" t="s">
        <v>232</v>
      </c>
      <c r="C469" s="34">
        <f>SUM(D469,E469)</f>
        <v>3313485</v>
      </c>
      <c r="D469" s="34">
        <f>SUM(D470,)</f>
        <v>3313485</v>
      </c>
      <c r="E469" s="34">
        <f>SUM(E470)</f>
        <v>0</v>
      </c>
      <c r="F469" s="148"/>
      <c r="G469" s="107"/>
      <c r="H469" s="6"/>
    </row>
    <row r="470" spans="1:8" s="3" customFormat="1" ht="12.75">
      <c r="A470" s="56"/>
      <c r="B470" s="17" t="s">
        <v>297</v>
      </c>
      <c r="C470" s="34">
        <f>SUM(D470,E470)</f>
        <v>3313485</v>
      </c>
      <c r="D470" s="34">
        <f>3313485</f>
        <v>3313485</v>
      </c>
      <c r="E470" s="34">
        <v>0</v>
      </c>
      <c r="F470" s="148"/>
      <c r="G470" s="107"/>
      <c r="H470" s="6"/>
    </row>
    <row r="471" spans="1:8" s="3" customFormat="1" ht="9" customHeight="1">
      <c r="A471" s="56"/>
      <c r="B471" s="17" t="s">
        <v>7</v>
      </c>
      <c r="C471" s="34"/>
      <c r="D471" s="34"/>
      <c r="E471" s="34"/>
      <c r="F471" s="148"/>
      <c r="G471" s="107"/>
      <c r="H471" s="6"/>
    </row>
    <row r="472" spans="1:8" s="3" customFormat="1" ht="12.75">
      <c r="A472" s="54"/>
      <c r="B472" s="18" t="s">
        <v>8</v>
      </c>
      <c r="C472" s="35">
        <f>SUM(D472,E472)</f>
        <v>3313485</v>
      </c>
      <c r="D472" s="35">
        <f>3313485</f>
        <v>3313485</v>
      </c>
      <c r="E472" s="35">
        <v>0</v>
      </c>
      <c r="F472" s="148"/>
      <c r="G472" s="107"/>
      <c r="H472" s="6"/>
    </row>
    <row r="473" spans="1:7" ht="12.75" customHeight="1">
      <c r="A473" s="56" t="s">
        <v>233</v>
      </c>
      <c r="B473" s="17" t="s">
        <v>277</v>
      </c>
      <c r="C473" s="34">
        <f>SUM(D473,E473)</f>
        <v>1320000</v>
      </c>
      <c r="D473" s="34">
        <f>SUM(D474)</f>
        <v>1320000</v>
      </c>
      <c r="E473" s="34">
        <f>SUM(E474)</f>
        <v>0</v>
      </c>
      <c r="F473" s="149"/>
      <c r="G473" s="107"/>
    </row>
    <row r="474" spans="1:7" ht="12.75">
      <c r="A474" s="56"/>
      <c r="B474" s="17" t="s">
        <v>29</v>
      </c>
      <c r="C474" s="34">
        <f>SUM(D474,E474)</f>
        <v>1320000</v>
      </c>
      <c r="D474" s="34">
        <f>1550000-230000-19800+19800</f>
        <v>1320000</v>
      </c>
      <c r="E474" s="34">
        <v>0</v>
      </c>
      <c r="F474" s="149"/>
      <c r="G474" s="107"/>
    </row>
    <row r="475" spans="1:7" ht="9" customHeight="1">
      <c r="A475" s="56"/>
      <c r="B475" s="17" t="s">
        <v>7</v>
      </c>
      <c r="C475" s="34"/>
      <c r="D475" s="34"/>
      <c r="E475" s="34"/>
      <c r="F475" s="149"/>
      <c r="G475" s="107"/>
    </row>
    <row r="476" spans="1:7" ht="12.75">
      <c r="A476" s="54"/>
      <c r="B476" s="18" t="s">
        <v>8</v>
      </c>
      <c r="C476" s="35">
        <f>SUM(D476,E476)</f>
        <v>1320000</v>
      </c>
      <c r="D476" s="35">
        <f>1550000-230000-19800+19800</f>
        <v>1320000</v>
      </c>
      <c r="E476" s="35">
        <v>0</v>
      </c>
      <c r="F476" s="149"/>
      <c r="G476" s="107"/>
    </row>
    <row r="477" spans="1:7" ht="12.75">
      <c r="A477" s="56" t="s">
        <v>234</v>
      </c>
      <c r="B477" s="17" t="s">
        <v>10</v>
      </c>
      <c r="C477" s="34">
        <f>SUM(D477,E477)</f>
        <v>290800</v>
      </c>
      <c r="D477" s="34">
        <f>SUM(D478)</f>
        <v>290800</v>
      </c>
      <c r="E477" s="34">
        <f>SUM(E478)</f>
        <v>0</v>
      </c>
      <c r="F477" s="149"/>
      <c r="G477" s="107"/>
    </row>
    <row r="478" spans="1:7" ht="12.75">
      <c r="A478" s="56"/>
      <c r="B478" s="17" t="s">
        <v>29</v>
      </c>
      <c r="C478" s="34">
        <f>SUM(D478,E478)</f>
        <v>290800</v>
      </c>
      <c r="D478" s="34">
        <v>290800</v>
      </c>
      <c r="E478" s="34">
        <v>0</v>
      </c>
      <c r="F478" s="149"/>
      <c r="G478" s="107"/>
    </row>
    <row r="479" spans="1:7" ht="9.75" customHeight="1">
      <c r="A479" s="52"/>
      <c r="B479" s="17" t="s">
        <v>7</v>
      </c>
      <c r="C479" s="34"/>
      <c r="D479" s="34"/>
      <c r="E479" s="34"/>
      <c r="F479" s="149"/>
      <c r="G479" s="107"/>
    </row>
    <row r="480" spans="1:7" ht="12.75">
      <c r="A480" s="53"/>
      <c r="B480" s="18" t="s">
        <v>110</v>
      </c>
      <c r="C480" s="35">
        <f>SUM(D480,E480)</f>
        <v>25600</v>
      </c>
      <c r="D480" s="35">
        <f>26000-400</f>
        <v>25600</v>
      </c>
      <c r="E480" s="35">
        <v>0</v>
      </c>
      <c r="F480" s="156"/>
      <c r="G480" s="113"/>
    </row>
    <row r="481" spans="1:7" ht="27.75" customHeight="1" thickBot="1">
      <c r="A481" s="176" t="s">
        <v>298</v>
      </c>
      <c r="B481" s="177"/>
      <c r="C481" s="178">
        <f>SUM(D481,E481)</f>
        <v>36576818</v>
      </c>
      <c r="D481" s="178">
        <f>SUM(D482,D487,D496,D505,D508,D514,D534,D519,)</f>
        <v>24047006</v>
      </c>
      <c r="E481" s="178">
        <f>SUM(E482,E487,E496,E505,E508,E514,E534,E519,)</f>
        <v>12529812</v>
      </c>
      <c r="F481" s="157"/>
      <c r="G481" s="133"/>
    </row>
    <row r="482" spans="1:5" ht="13.5" thickTop="1">
      <c r="A482" s="57" t="s">
        <v>40</v>
      </c>
      <c r="B482" s="22" t="s">
        <v>41</v>
      </c>
      <c r="C482" s="32">
        <f>SUM(D482,E482)</f>
        <v>45000</v>
      </c>
      <c r="D482" s="32">
        <f>SUM(D483)</f>
        <v>0</v>
      </c>
      <c r="E482" s="32">
        <f>SUM(E483)</f>
        <v>45000</v>
      </c>
    </row>
    <row r="483" spans="1:5" ht="12.75">
      <c r="A483" s="60" t="s">
        <v>42</v>
      </c>
      <c r="B483" s="20" t="s">
        <v>235</v>
      </c>
      <c r="C483" s="34">
        <f>SUM(D483,E483)</f>
        <v>45000</v>
      </c>
      <c r="D483" s="34">
        <f>SUM(D484)</f>
        <v>0</v>
      </c>
      <c r="E483" s="34">
        <f>SUM(E484)</f>
        <v>45000</v>
      </c>
    </row>
    <row r="484" spans="1:5" ht="12.75">
      <c r="A484" s="58"/>
      <c r="B484" s="20" t="s">
        <v>29</v>
      </c>
      <c r="C484" s="34">
        <f>SUM(D484,E484)</f>
        <v>45000</v>
      </c>
      <c r="D484" s="34">
        <v>0</v>
      </c>
      <c r="E484" s="34">
        <v>45000</v>
      </c>
    </row>
    <row r="485" spans="1:5" ht="12.75">
      <c r="A485" s="58"/>
      <c r="B485" s="20" t="s">
        <v>7</v>
      </c>
      <c r="C485" s="34"/>
      <c r="D485" s="34"/>
      <c r="E485" s="34"/>
    </row>
    <row r="486" spans="1:5" ht="12.75">
      <c r="A486" s="61"/>
      <c r="B486" s="23" t="s">
        <v>110</v>
      </c>
      <c r="C486" s="46">
        <f aca="true" t="shared" si="16" ref="C486:C493">SUM(D486,E486)</f>
        <v>1025</v>
      </c>
      <c r="D486" s="35">
        <v>0</v>
      </c>
      <c r="E486" s="35">
        <v>1025</v>
      </c>
    </row>
    <row r="487" spans="1:5" ht="12.75">
      <c r="A487" s="57" t="s">
        <v>46</v>
      </c>
      <c r="B487" s="22" t="s">
        <v>47</v>
      </c>
      <c r="C487" s="32">
        <f t="shared" si="16"/>
        <v>519800</v>
      </c>
      <c r="D487" s="32">
        <f>SUM(D488,D490,D492)</f>
        <v>0</v>
      </c>
      <c r="E487" s="32">
        <f>SUM(E488,E490,E492)</f>
        <v>519800</v>
      </c>
    </row>
    <row r="488" spans="1:5" ht="10.5" customHeight="1">
      <c r="A488" s="62" t="s">
        <v>50</v>
      </c>
      <c r="B488" s="24" t="s">
        <v>51</v>
      </c>
      <c r="C488" s="46">
        <f t="shared" si="16"/>
        <v>92800</v>
      </c>
      <c r="D488" s="46">
        <f>SUM(D489)</f>
        <v>0</v>
      </c>
      <c r="E488" s="46">
        <f>SUM(E489)</f>
        <v>92800</v>
      </c>
    </row>
    <row r="489" spans="1:5" ht="12.75">
      <c r="A489" s="61"/>
      <c r="B489" s="23" t="s">
        <v>29</v>
      </c>
      <c r="C489" s="35">
        <f t="shared" si="16"/>
        <v>92800</v>
      </c>
      <c r="D489" s="35">
        <v>0</v>
      </c>
      <c r="E489" s="35">
        <v>92800</v>
      </c>
    </row>
    <row r="490" spans="1:5" ht="12.75">
      <c r="A490" s="60" t="s">
        <v>52</v>
      </c>
      <c r="B490" s="25" t="s">
        <v>53</v>
      </c>
      <c r="C490" s="33">
        <f t="shared" si="16"/>
        <v>15000</v>
      </c>
      <c r="D490" s="33">
        <f>SUM(D491)</f>
        <v>0</v>
      </c>
      <c r="E490" s="33">
        <f>SUM(E491)</f>
        <v>15000</v>
      </c>
    </row>
    <row r="491" spans="1:5" ht="12.75">
      <c r="A491" s="61"/>
      <c r="B491" s="23" t="s">
        <v>295</v>
      </c>
      <c r="C491" s="35">
        <f t="shared" si="16"/>
        <v>15000</v>
      </c>
      <c r="D491" s="35">
        <v>0</v>
      </c>
      <c r="E491" s="35">
        <v>15000</v>
      </c>
    </row>
    <row r="492" spans="1:5" ht="12.75">
      <c r="A492" s="60" t="s">
        <v>54</v>
      </c>
      <c r="B492" s="25" t="s">
        <v>236</v>
      </c>
      <c r="C492" s="33">
        <f t="shared" si="16"/>
        <v>412000</v>
      </c>
      <c r="D492" s="33">
        <f>SUM(D493)</f>
        <v>0</v>
      </c>
      <c r="E492" s="33">
        <f>SUM(E493)</f>
        <v>412000</v>
      </c>
    </row>
    <row r="493" spans="1:5" ht="12.75">
      <c r="A493" s="58"/>
      <c r="B493" s="20" t="s">
        <v>295</v>
      </c>
      <c r="C493" s="34">
        <f t="shared" si="16"/>
        <v>412000</v>
      </c>
      <c r="D493" s="34">
        <v>0</v>
      </c>
      <c r="E493" s="34">
        <v>412000</v>
      </c>
    </row>
    <row r="494" spans="1:5" ht="12" customHeight="1">
      <c r="A494" s="58"/>
      <c r="B494" s="20" t="s">
        <v>7</v>
      </c>
      <c r="C494" s="34"/>
      <c r="D494" s="34"/>
      <c r="E494" s="34"/>
    </row>
    <row r="495" spans="1:5" ht="12.75">
      <c r="A495" s="58"/>
      <c r="B495" s="20" t="s">
        <v>110</v>
      </c>
      <c r="C495" s="34">
        <f>SUM(D495,E495)</f>
        <v>382041</v>
      </c>
      <c r="D495" s="34">
        <v>0</v>
      </c>
      <c r="E495" s="35">
        <v>382041</v>
      </c>
    </row>
    <row r="496" spans="1:5" ht="12.75">
      <c r="A496" s="57" t="s">
        <v>57</v>
      </c>
      <c r="B496" s="22" t="s">
        <v>58</v>
      </c>
      <c r="C496" s="32">
        <f>SUM(D496,E496)</f>
        <v>896800</v>
      </c>
      <c r="D496" s="32">
        <f>SUM(D497,D501)</f>
        <v>629500</v>
      </c>
      <c r="E496" s="32">
        <f>SUM(E497,E501)</f>
        <v>267300</v>
      </c>
    </row>
    <row r="497" spans="1:5" ht="12.75">
      <c r="A497" s="60" t="s">
        <v>59</v>
      </c>
      <c r="B497" s="20" t="s">
        <v>60</v>
      </c>
      <c r="C497" s="34">
        <f>SUM(D497,E497)</f>
        <v>865800</v>
      </c>
      <c r="D497" s="34">
        <f>SUM(D498)</f>
        <v>629500</v>
      </c>
      <c r="E497" s="34">
        <f>SUM(E498)</f>
        <v>236300</v>
      </c>
    </row>
    <row r="498" spans="1:5" ht="12.75">
      <c r="A498" s="58"/>
      <c r="B498" s="20" t="s">
        <v>15</v>
      </c>
      <c r="C498" s="34">
        <f>SUM(D498,E498)</f>
        <v>865800</v>
      </c>
      <c r="D498" s="34">
        <v>629500</v>
      </c>
      <c r="E498" s="34">
        <v>236300</v>
      </c>
    </row>
    <row r="499" spans="1:5" ht="12.75">
      <c r="A499" s="58"/>
      <c r="B499" s="20" t="s">
        <v>7</v>
      </c>
      <c r="C499" s="38"/>
      <c r="D499" s="34"/>
      <c r="E499" s="34"/>
    </row>
    <row r="500" spans="1:5" ht="12.75">
      <c r="A500" s="61"/>
      <c r="B500" s="23" t="s">
        <v>110</v>
      </c>
      <c r="C500" s="35">
        <f>SUM(D500,E500)</f>
        <v>821700</v>
      </c>
      <c r="D500" s="35">
        <v>591500</v>
      </c>
      <c r="E500" s="35">
        <v>230200</v>
      </c>
    </row>
    <row r="501" spans="1:5" ht="12.75">
      <c r="A501" s="60" t="s">
        <v>237</v>
      </c>
      <c r="B501" s="20" t="s">
        <v>320</v>
      </c>
      <c r="C501" s="34">
        <f>SUM(D501,E501)</f>
        <v>31000</v>
      </c>
      <c r="D501" s="34">
        <f>SUM(D502)</f>
        <v>0</v>
      </c>
      <c r="E501" s="34">
        <f>SUM(E502)</f>
        <v>31000</v>
      </c>
    </row>
    <row r="502" spans="1:5" ht="12.75">
      <c r="A502" s="58"/>
      <c r="B502" s="20" t="s">
        <v>297</v>
      </c>
      <c r="C502" s="34">
        <f>SUM(D502,E502)</f>
        <v>31000</v>
      </c>
      <c r="D502" s="34">
        <v>0</v>
      </c>
      <c r="E502" s="34">
        <v>31000</v>
      </c>
    </row>
    <row r="503" spans="1:5" ht="12" customHeight="1">
      <c r="A503" s="58"/>
      <c r="B503" s="20" t="s">
        <v>7</v>
      </c>
      <c r="C503" s="38"/>
      <c r="D503" s="34"/>
      <c r="E503" s="34"/>
    </row>
    <row r="504" spans="1:5" ht="12.75">
      <c r="A504" s="61"/>
      <c r="B504" s="23" t="s">
        <v>110</v>
      </c>
      <c r="C504" s="35">
        <f aca="true" t="shared" si="17" ref="C504:C510">SUM(D504,E504)</f>
        <v>20800</v>
      </c>
      <c r="D504" s="35">
        <v>0</v>
      </c>
      <c r="E504" s="35">
        <v>20800</v>
      </c>
    </row>
    <row r="505" spans="1:5" ht="24" customHeight="1">
      <c r="A505" s="57" t="s">
        <v>238</v>
      </c>
      <c r="B505" s="26" t="s">
        <v>239</v>
      </c>
      <c r="C505" s="42">
        <f t="shared" si="17"/>
        <v>17906</v>
      </c>
      <c r="D505" s="42">
        <f>SUM(D506,)</f>
        <v>17906</v>
      </c>
      <c r="E505" s="42">
        <f>SUM(E506)</f>
        <v>0</v>
      </c>
    </row>
    <row r="506" spans="1:5" ht="19.5">
      <c r="A506" s="51" t="s">
        <v>240</v>
      </c>
      <c r="B506" s="29" t="s">
        <v>269</v>
      </c>
      <c r="C506" s="43">
        <f t="shared" si="17"/>
        <v>17906</v>
      </c>
      <c r="D506" s="43">
        <f>SUM(D507)</f>
        <v>17906</v>
      </c>
      <c r="E506" s="43">
        <f>SUM(E507)</f>
        <v>0</v>
      </c>
    </row>
    <row r="507" spans="1:5" ht="12.75">
      <c r="A507" s="61"/>
      <c r="B507" s="23" t="s">
        <v>29</v>
      </c>
      <c r="C507" s="35">
        <f t="shared" si="17"/>
        <v>17906</v>
      </c>
      <c r="D507" s="35">
        <v>17906</v>
      </c>
      <c r="E507" s="35"/>
    </row>
    <row r="508" spans="1:5" ht="20.25" customHeight="1">
      <c r="A508" s="57" t="s">
        <v>69</v>
      </c>
      <c r="B508" s="26" t="s">
        <v>70</v>
      </c>
      <c r="C508" s="42">
        <f t="shared" si="17"/>
        <v>8360000</v>
      </c>
      <c r="D508" s="42">
        <f>SUM(D509,)</f>
        <v>0</v>
      </c>
      <c r="E508" s="42">
        <f>SUM(E509,)</f>
        <v>8360000</v>
      </c>
    </row>
    <row r="509" spans="1:5" ht="12" customHeight="1">
      <c r="A509" s="62" t="s">
        <v>73</v>
      </c>
      <c r="B509" s="24" t="s">
        <v>281</v>
      </c>
      <c r="C509" s="34">
        <f t="shared" si="17"/>
        <v>8360000</v>
      </c>
      <c r="D509" s="34">
        <f>SUM(D510)</f>
        <v>0</v>
      </c>
      <c r="E509" s="34">
        <f>SUM(E510,E513)</f>
        <v>8360000</v>
      </c>
    </row>
    <row r="510" spans="1:5" ht="11.25" customHeight="1">
      <c r="A510" s="58"/>
      <c r="B510" s="20" t="s">
        <v>29</v>
      </c>
      <c r="C510" s="34">
        <f t="shared" si="17"/>
        <v>8277000</v>
      </c>
      <c r="D510" s="34">
        <v>0</v>
      </c>
      <c r="E510" s="34">
        <v>8277000</v>
      </c>
    </row>
    <row r="511" spans="1:5" ht="10.5" customHeight="1">
      <c r="A511" s="58"/>
      <c r="B511" s="20" t="s">
        <v>7</v>
      </c>
      <c r="C511" s="38"/>
      <c r="D511" s="34"/>
      <c r="E511" s="34"/>
    </row>
    <row r="512" spans="1:5" ht="12" customHeight="1">
      <c r="A512" s="58"/>
      <c r="B512" s="20" t="s">
        <v>110</v>
      </c>
      <c r="C512" s="34">
        <f>SUM(D512,E512)</f>
        <v>6971200</v>
      </c>
      <c r="D512" s="34">
        <v>0</v>
      </c>
      <c r="E512" s="34">
        <v>6971200</v>
      </c>
    </row>
    <row r="513" spans="1:8" s="3" customFormat="1" ht="12.75">
      <c r="A513" s="58"/>
      <c r="B513" s="20" t="s">
        <v>22</v>
      </c>
      <c r="C513" s="34">
        <f>SUM(D513,E513)</f>
        <v>83000</v>
      </c>
      <c r="D513" s="34">
        <v>0</v>
      </c>
      <c r="E513" s="34">
        <v>83000</v>
      </c>
      <c r="F513" s="102"/>
      <c r="G513" s="93"/>
      <c r="H513" s="6"/>
    </row>
    <row r="514" spans="1:5" ht="12.75">
      <c r="A514" s="57" t="s">
        <v>122</v>
      </c>
      <c r="B514" s="22" t="s">
        <v>241</v>
      </c>
      <c r="C514" s="32">
        <f>SUM(D514,E514)</f>
        <v>3129612</v>
      </c>
      <c r="D514" s="32">
        <f>SUM(D515)</f>
        <v>0</v>
      </c>
      <c r="E514" s="32">
        <f>SUM(E515)</f>
        <v>3129612</v>
      </c>
    </row>
    <row r="515" spans="1:5" ht="19.5">
      <c r="A515" s="98">
        <v>85156</v>
      </c>
      <c r="B515" s="16" t="s">
        <v>280</v>
      </c>
      <c r="C515" s="45">
        <f>SUM(D515,E515)</f>
        <v>3129612</v>
      </c>
      <c r="D515" s="45">
        <f>SUM(D516)</f>
        <v>0</v>
      </c>
      <c r="E515" s="45">
        <f>SUM(E516)</f>
        <v>3129612</v>
      </c>
    </row>
    <row r="516" spans="1:5" ht="12.75">
      <c r="A516" s="58"/>
      <c r="B516" s="20" t="s">
        <v>15</v>
      </c>
      <c r="C516" s="34">
        <f>SUM(D516,E516)</f>
        <v>3129612</v>
      </c>
      <c r="D516" s="34">
        <v>0</v>
      </c>
      <c r="E516" s="34">
        <v>3129612</v>
      </c>
    </row>
    <row r="517" spans="1:5" ht="10.5" customHeight="1">
      <c r="A517" s="58"/>
      <c r="B517" s="20" t="s">
        <v>7</v>
      </c>
      <c r="C517" s="38"/>
      <c r="D517" s="34"/>
      <c r="E517" s="34"/>
    </row>
    <row r="518" spans="1:6" ht="12.75">
      <c r="A518" s="61"/>
      <c r="B518" s="23" t="s">
        <v>110</v>
      </c>
      <c r="C518" s="35">
        <f>SUM(D518,E518)</f>
        <v>3129612</v>
      </c>
      <c r="D518" s="35">
        <v>0</v>
      </c>
      <c r="E518" s="35">
        <f>3109200+1000+19412</f>
        <v>3129612</v>
      </c>
      <c r="F518" s="126"/>
    </row>
    <row r="519" spans="1:5" ht="12.75">
      <c r="A519" s="57" t="s">
        <v>133</v>
      </c>
      <c r="B519" s="22" t="s">
        <v>134</v>
      </c>
      <c r="C519" s="32">
        <f>SUM(D519,E519)</f>
        <v>23399600</v>
      </c>
      <c r="D519" s="32">
        <f>SUM(D520,D528,D532,D524,)</f>
        <v>23399600</v>
      </c>
      <c r="E519" s="32">
        <f>SUM(E520,E528,E532,E61,E4599,E524)</f>
        <v>0</v>
      </c>
    </row>
    <row r="520" spans="1:5" ht="12.75">
      <c r="A520" s="58" t="s">
        <v>139</v>
      </c>
      <c r="B520" s="20" t="s">
        <v>140</v>
      </c>
      <c r="C520" s="33">
        <f>SUM(D520,E520)</f>
        <v>559200</v>
      </c>
      <c r="D520" s="34">
        <f>SUM(D521)</f>
        <v>559200</v>
      </c>
      <c r="E520" s="34">
        <f>SUM(E521)</f>
        <v>0</v>
      </c>
    </row>
    <row r="521" spans="1:5" ht="12.75">
      <c r="A521" s="58"/>
      <c r="B521" s="20" t="s">
        <v>290</v>
      </c>
      <c r="C521" s="34">
        <f>SUM(D521,E521)</f>
        <v>559200</v>
      </c>
      <c r="D521" s="34">
        <v>559200</v>
      </c>
      <c r="E521" s="34">
        <v>0</v>
      </c>
    </row>
    <row r="522" spans="1:5" ht="9" customHeight="1">
      <c r="A522" s="58"/>
      <c r="B522" s="20" t="s">
        <v>7</v>
      </c>
      <c r="C522" s="34"/>
      <c r="D522" s="34"/>
      <c r="E522" s="34"/>
    </row>
    <row r="523" spans="1:5" ht="12" customHeight="1">
      <c r="A523" s="61"/>
      <c r="B523" s="23" t="s">
        <v>110</v>
      </c>
      <c r="C523" s="35">
        <f>SUM(D523,E523)</f>
        <v>427900</v>
      </c>
      <c r="D523" s="35">
        <v>427900</v>
      </c>
      <c r="E523" s="35">
        <v>0</v>
      </c>
    </row>
    <row r="524" spans="1:5" ht="28.5" customHeight="1">
      <c r="A524" s="56" t="s">
        <v>248</v>
      </c>
      <c r="B524" s="24" t="s">
        <v>330</v>
      </c>
      <c r="C524" s="34">
        <f>SUM(D524,E524)</f>
        <v>21978500</v>
      </c>
      <c r="D524" s="34">
        <f>SUM(D525)</f>
        <v>21978500</v>
      </c>
      <c r="E524" s="34">
        <f>SUM(E525)</f>
        <v>0</v>
      </c>
    </row>
    <row r="525" spans="1:5" ht="12.75">
      <c r="A525" s="58"/>
      <c r="B525" s="20" t="s">
        <v>15</v>
      </c>
      <c r="C525" s="34">
        <f>SUM(D525,E525)</f>
        <v>21978500</v>
      </c>
      <c r="D525" s="34">
        <v>21978500</v>
      </c>
      <c r="E525" s="34">
        <v>0</v>
      </c>
    </row>
    <row r="526" spans="1:5" ht="9" customHeight="1">
      <c r="A526" s="59"/>
      <c r="B526" s="20" t="s">
        <v>61</v>
      </c>
      <c r="C526" s="38"/>
      <c r="D526" s="34"/>
      <c r="E526" s="34"/>
    </row>
    <row r="527" spans="1:5" ht="12.75">
      <c r="A527" s="79"/>
      <c r="B527" s="23" t="s">
        <v>319</v>
      </c>
      <c r="C527" s="35">
        <f>SUM(D527,E527)</f>
        <v>850355</v>
      </c>
      <c r="D527" s="35">
        <v>850355</v>
      </c>
      <c r="E527" s="35">
        <v>0</v>
      </c>
    </row>
    <row r="528" spans="1:5" ht="38.25" customHeight="1">
      <c r="A528" s="56" t="s">
        <v>242</v>
      </c>
      <c r="B528" s="27" t="s">
        <v>314</v>
      </c>
      <c r="C528" s="34">
        <f>SUM(D528,E528)</f>
        <v>64700</v>
      </c>
      <c r="D528" s="34">
        <f>SUM(D529)</f>
        <v>64700</v>
      </c>
      <c r="E528" s="34">
        <f>SUM(E529)</f>
        <v>0</v>
      </c>
    </row>
    <row r="529" spans="1:5" ht="10.5" customHeight="1">
      <c r="A529" s="58"/>
      <c r="B529" s="20" t="s">
        <v>29</v>
      </c>
      <c r="C529" s="34">
        <f>SUM(D529,E529)</f>
        <v>64700</v>
      </c>
      <c r="D529" s="34">
        <v>64700</v>
      </c>
      <c r="E529" s="34">
        <v>0</v>
      </c>
    </row>
    <row r="530" spans="1:5" ht="10.5" customHeight="1">
      <c r="A530" s="58"/>
      <c r="B530" s="20" t="s">
        <v>7</v>
      </c>
      <c r="C530" s="38"/>
      <c r="D530" s="34"/>
      <c r="E530" s="34"/>
    </row>
    <row r="531" spans="1:8" s="3" customFormat="1" ht="12.75">
      <c r="A531" s="61"/>
      <c r="B531" s="23" t="s">
        <v>110</v>
      </c>
      <c r="C531" s="35">
        <f aca="true" t="shared" si="18" ref="C531:C536">SUM(D531,E531)</f>
        <v>64700</v>
      </c>
      <c r="D531" s="35">
        <v>64700</v>
      </c>
      <c r="E531" s="35">
        <v>0</v>
      </c>
      <c r="F531" s="102"/>
      <c r="G531" s="93"/>
      <c r="H531" s="6"/>
    </row>
    <row r="532" spans="1:5" ht="10.5" customHeight="1">
      <c r="A532" s="51" t="s">
        <v>154</v>
      </c>
      <c r="B532" s="29" t="s">
        <v>155</v>
      </c>
      <c r="C532" s="44">
        <f t="shared" si="18"/>
        <v>797200</v>
      </c>
      <c r="D532" s="44">
        <f>SUM(D533)</f>
        <v>797200</v>
      </c>
      <c r="E532" s="44">
        <f>SUM(E533)</f>
        <v>0</v>
      </c>
    </row>
    <row r="533" spans="1:5" ht="12.75">
      <c r="A533" s="61"/>
      <c r="B533" s="23" t="s">
        <v>29</v>
      </c>
      <c r="C533" s="35">
        <f t="shared" si="18"/>
        <v>797200</v>
      </c>
      <c r="D533" s="35">
        <v>797200</v>
      </c>
      <c r="E533" s="35">
        <v>0</v>
      </c>
    </row>
    <row r="534" spans="1:5" ht="16.5" customHeight="1">
      <c r="A534" s="57" t="s">
        <v>157</v>
      </c>
      <c r="B534" s="26" t="s">
        <v>158</v>
      </c>
      <c r="C534" s="42">
        <f t="shared" si="18"/>
        <v>208100</v>
      </c>
      <c r="D534" s="42">
        <f>SUM(D535)</f>
        <v>0</v>
      </c>
      <c r="E534" s="42">
        <f>SUM(E535,)</f>
        <v>208100</v>
      </c>
    </row>
    <row r="535" spans="1:5" ht="12.75">
      <c r="A535" s="58" t="s">
        <v>161</v>
      </c>
      <c r="B535" s="20" t="s">
        <v>162</v>
      </c>
      <c r="C535" s="34">
        <f t="shared" si="18"/>
        <v>208100</v>
      </c>
      <c r="D535" s="34">
        <f>SUM(D536)</f>
        <v>0</v>
      </c>
      <c r="E535" s="34">
        <f>SUM(E536)</f>
        <v>208100</v>
      </c>
    </row>
    <row r="536" spans="1:5" ht="12.75">
      <c r="A536" s="58"/>
      <c r="B536" s="20" t="s">
        <v>15</v>
      </c>
      <c r="C536" s="34">
        <f t="shared" si="18"/>
        <v>208100</v>
      </c>
      <c r="D536" s="34">
        <v>0</v>
      </c>
      <c r="E536" s="34">
        <v>208100</v>
      </c>
    </row>
    <row r="537" spans="1:5" ht="10.5" customHeight="1">
      <c r="A537" s="58"/>
      <c r="B537" s="20" t="s">
        <v>7</v>
      </c>
      <c r="C537" s="38"/>
      <c r="D537" s="34"/>
      <c r="E537" s="34"/>
    </row>
    <row r="538" spans="1:5" ht="13.5" thickBot="1">
      <c r="A538" s="61"/>
      <c r="B538" s="23" t="s">
        <v>110</v>
      </c>
      <c r="C538" s="35">
        <f aca="true" t="shared" si="19" ref="C538:C546">SUM(D538,E538)</f>
        <v>193084</v>
      </c>
      <c r="D538" s="35">
        <v>0</v>
      </c>
      <c r="E538" s="34">
        <v>193084</v>
      </c>
    </row>
    <row r="539" spans="1:5" ht="23.25" customHeight="1" thickBot="1" thickTop="1">
      <c r="A539" s="161" t="s">
        <v>288</v>
      </c>
      <c r="B539" s="162"/>
      <c r="C539" s="80">
        <f t="shared" si="19"/>
        <v>11000</v>
      </c>
      <c r="D539" s="80">
        <f aca="true" t="shared" si="20" ref="D539:E541">SUM(D540)</f>
        <v>0</v>
      </c>
      <c r="E539" s="80">
        <f t="shared" si="20"/>
        <v>11000</v>
      </c>
    </row>
    <row r="540" spans="1:5" ht="13.5" thickTop="1">
      <c r="A540" s="57" t="s">
        <v>57</v>
      </c>
      <c r="B540" s="22" t="s">
        <v>58</v>
      </c>
      <c r="C540" s="36">
        <f t="shared" si="19"/>
        <v>11000</v>
      </c>
      <c r="D540" s="32">
        <f t="shared" si="20"/>
        <v>0</v>
      </c>
      <c r="E540" s="32">
        <f t="shared" si="20"/>
        <v>11000</v>
      </c>
    </row>
    <row r="541" spans="1:5" ht="12.75">
      <c r="A541" s="58" t="s">
        <v>237</v>
      </c>
      <c r="B541" s="20" t="s">
        <v>320</v>
      </c>
      <c r="C541" s="34">
        <f t="shared" si="19"/>
        <v>11000</v>
      </c>
      <c r="D541" s="34">
        <f t="shared" si="20"/>
        <v>0</v>
      </c>
      <c r="E541" s="34">
        <f t="shared" si="20"/>
        <v>11000</v>
      </c>
    </row>
    <row r="542" spans="1:5" ht="13.5" thickBot="1">
      <c r="A542" s="61"/>
      <c r="B542" s="23" t="s">
        <v>295</v>
      </c>
      <c r="C542" s="35">
        <f t="shared" si="19"/>
        <v>11000</v>
      </c>
      <c r="D542" s="35"/>
      <c r="E542" s="35">
        <v>11000</v>
      </c>
    </row>
    <row r="543" spans="1:5" ht="24.75" customHeight="1" thickBot="1" thickTop="1">
      <c r="A543" s="161" t="s">
        <v>243</v>
      </c>
      <c r="B543" s="162"/>
      <c r="C543" s="80">
        <f t="shared" si="19"/>
        <v>2568197</v>
      </c>
      <c r="D543" s="80">
        <f>SUM(D544)</f>
        <v>346300</v>
      </c>
      <c r="E543" s="80">
        <f>SUM(E558,E567,E549)</f>
        <v>2221897</v>
      </c>
    </row>
    <row r="544" spans="1:8" s="10" customFormat="1" ht="12" customHeight="1" thickTop="1">
      <c r="A544" s="85">
        <v>801</v>
      </c>
      <c r="B544" s="86" t="s">
        <v>94</v>
      </c>
      <c r="C544" s="39">
        <f t="shared" si="19"/>
        <v>346300</v>
      </c>
      <c r="D544" s="39">
        <f>SUM(D545)</f>
        <v>346300</v>
      </c>
      <c r="E544" s="87">
        <f>SUM(E545)</f>
        <v>0</v>
      </c>
      <c r="F544" s="109"/>
      <c r="G544" s="114"/>
      <c r="H544" s="121"/>
    </row>
    <row r="545" spans="1:5" ht="12" customHeight="1">
      <c r="A545" s="81">
        <v>80104</v>
      </c>
      <c r="B545" s="159" t="s">
        <v>100</v>
      </c>
      <c r="C545" s="40">
        <f t="shared" si="19"/>
        <v>346300</v>
      </c>
      <c r="D545" s="46">
        <f>SUM(D546)</f>
        <v>346300</v>
      </c>
      <c r="E545" s="83">
        <f>SUM(E546)</f>
        <v>0</v>
      </c>
    </row>
    <row r="546" spans="1:5" ht="12" customHeight="1">
      <c r="A546" s="81"/>
      <c r="B546" s="159" t="s">
        <v>15</v>
      </c>
      <c r="C546" s="34">
        <f t="shared" si="19"/>
        <v>346300</v>
      </c>
      <c r="D546" s="46">
        <v>346300</v>
      </c>
      <c r="E546" s="46">
        <v>0</v>
      </c>
    </row>
    <row r="547" spans="1:5" ht="10.5" customHeight="1">
      <c r="A547" s="81"/>
      <c r="B547" s="159" t="s">
        <v>7</v>
      </c>
      <c r="C547" s="46"/>
      <c r="D547" s="46"/>
      <c r="E547" s="46"/>
    </row>
    <row r="548" spans="1:5" ht="12" customHeight="1">
      <c r="A548" s="82"/>
      <c r="B548" s="160" t="s">
        <v>8</v>
      </c>
      <c r="C548" s="35">
        <f>SUM(D548,E548)</f>
        <v>346300</v>
      </c>
      <c r="D548" s="46">
        <v>346300</v>
      </c>
      <c r="E548" s="46">
        <v>0</v>
      </c>
    </row>
    <row r="549" spans="1:5" ht="12.75" customHeight="1">
      <c r="A549" s="64">
        <v>852</v>
      </c>
      <c r="B549" s="158" t="s">
        <v>134</v>
      </c>
      <c r="C549" s="42">
        <f>SUM(D549,E549)</f>
        <v>296000</v>
      </c>
      <c r="D549" s="42">
        <f>SUM(D550)</f>
        <v>0</v>
      </c>
      <c r="E549" s="42">
        <f>SUM(E550,E554)</f>
        <v>296000</v>
      </c>
    </row>
    <row r="550" spans="1:5" ht="10.5" customHeight="1">
      <c r="A550" s="65">
        <v>85201</v>
      </c>
      <c r="B550" s="17" t="s">
        <v>266</v>
      </c>
      <c r="C550" s="40">
        <f>SUM(D550,E550)</f>
        <v>135700</v>
      </c>
      <c r="D550" s="46">
        <v>0</v>
      </c>
      <c r="E550" s="46">
        <f>SUM(E551)</f>
        <v>135700</v>
      </c>
    </row>
    <row r="551" spans="1:5" ht="11.25" customHeight="1">
      <c r="A551" s="65"/>
      <c r="B551" s="17" t="s">
        <v>29</v>
      </c>
      <c r="C551" s="34">
        <f>SUM(D551,E551)</f>
        <v>135700</v>
      </c>
      <c r="D551" s="46">
        <v>0</v>
      </c>
      <c r="E551" s="46">
        <v>135700</v>
      </c>
    </row>
    <row r="552" spans="1:5" ht="9.75" customHeight="1">
      <c r="A552" s="65"/>
      <c r="B552" s="17" t="s">
        <v>7</v>
      </c>
      <c r="C552" s="34"/>
      <c r="D552" s="46"/>
      <c r="E552" s="46"/>
    </row>
    <row r="553" spans="1:5" ht="10.5" customHeight="1">
      <c r="A553" s="63"/>
      <c r="B553" s="18" t="s">
        <v>293</v>
      </c>
      <c r="C553" s="35">
        <f>SUM(D553,E553)</f>
        <v>50500</v>
      </c>
      <c r="D553" s="92">
        <v>0</v>
      </c>
      <c r="E553" s="92">
        <v>50500</v>
      </c>
    </row>
    <row r="554" spans="1:5" ht="12" customHeight="1">
      <c r="A554" s="65">
        <v>85204</v>
      </c>
      <c r="B554" s="17" t="s">
        <v>267</v>
      </c>
      <c r="C554" s="40">
        <f>SUM(D554,E554)</f>
        <v>160300</v>
      </c>
      <c r="D554" s="46">
        <v>0</v>
      </c>
      <c r="E554" s="46">
        <f>SUM(E555)</f>
        <v>160300</v>
      </c>
    </row>
    <row r="555" spans="1:5" ht="9.75" customHeight="1">
      <c r="A555" s="65"/>
      <c r="B555" s="17" t="s">
        <v>29</v>
      </c>
      <c r="C555" s="34">
        <f>SUM(D555,E555)</f>
        <v>160300</v>
      </c>
      <c r="D555" s="46">
        <v>0</v>
      </c>
      <c r="E555" s="46">
        <v>160300</v>
      </c>
    </row>
    <row r="556" spans="1:5" ht="9" customHeight="1">
      <c r="A556" s="65"/>
      <c r="B556" s="17" t="s">
        <v>7</v>
      </c>
      <c r="C556" s="34"/>
      <c r="D556" s="46"/>
      <c r="E556" s="46"/>
    </row>
    <row r="557" spans="1:5" ht="10.5" customHeight="1">
      <c r="A557" s="63"/>
      <c r="B557" s="18" t="s">
        <v>110</v>
      </c>
      <c r="C557" s="35">
        <f>SUM(D557,E557)</f>
        <v>28011</v>
      </c>
      <c r="D557" s="92">
        <v>0</v>
      </c>
      <c r="E557" s="92">
        <v>28011</v>
      </c>
    </row>
    <row r="558" spans="1:5" ht="15" customHeight="1">
      <c r="A558" s="57" t="s">
        <v>157</v>
      </c>
      <c r="B558" s="26" t="s">
        <v>158</v>
      </c>
      <c r="C558" s="42">
        <f>SUM(D558,E558)</f>
        <v>1375897</v>
      </c>
      <c r="D558" s="42">
        <f>SUM(D559)</f>
        <v>0</v>
      </c>
      <c r="E558" s="42">
        <f>SUM(E559,E563,)</f>
        <v>1375897</v>
      </c>
    </row>
    <row r="559" spans="1:5" ht="12.75">
      <c r="A559" s="58" t="s">
        <v>161</v>
      </c>
      <c r="B559" s="20" t="s">
        <v>244</v>
      </c>
      <c r="C559" s="34">
        <f>SUM(D559,E559)</f>
        <v>155500</v>
      </c>
      <c r="D559" s="34">
        <f>SUM(D560)</f>
        <v>0</v>
      </c>
      <c r="E559" s="34">
        <f>SUM(E560)</f>
        <v>155500</v>
      </c>
    </row>
    <row r="560" spans="1:5" ht="12" customHeight="1">
      <c r="A560" s="58"/>
      <c r="B560" s="20" t="s">
        <v>15</v>
      </c>
      <c r="C560" s="34">
        <f>SUM(D560,E560)</f>
        <v>155500</v>
      </c>
      <c r="D560" s="34">
        <v>0</v>
      </c>
      <c r="E560" s="34">
        <v>155500</v>
      </c>
    </row>
    <row r="561" spans="1:5" ht="9" customHeight="1">
      <c r="A561" s="58"/>
      <c r="B561" s="20" t="s">
        <v>7</v>
      </c>
      <c r="C561" s="34"/>
      <c r="D561" s="34"/>
      <c r="E561" s="34"/>
    </row>
    <row r="562" spans="1:5" ht="12.75">
      <c r="A562" s="61"/>
      <c r="B562" s="23" t="s">
        <v>110</v>
      </c>
      <c r="C562" s="35">
        <f>SUM(D562,E562)</f>
        <v>135712</v>
      </c>
      <c r="D562" s="35">
        <v>0</v>
      </c>
      <c r="E562" s="35">
        <v>135712</v>
      </c>
    </row>
    <row r="563" spans="1:5" ht="12.75">
      <c r="A563" s="60" t="s">
        <v>163</v>
      </c>
      <c r="B563" s="25" t="s">
        <v>164</v>
      </c>
      <c r="C563" s="34">
        <f>SUM(D563,E563)</f>
        <v>1220397</v>
      </c>
      <c r="D563" s="33">
        <f>SUM(D564)</f>
        <v>0</v>
      </c>
      <c r="E563" s="33">
        <f>SUM(E564)</f>
        <v>1220397</v>
      </c>
    </row>
    <row r="564" spans="1:5" ht="11.25" customHeight="1">
      <c r="A564" s="58"/>
      <c r="B564" s="20" t="s">
        <v>15</v>
      </c>
      <c r="C564" s="34">
        <f>SUM(D564,E564)</f>
        <v>1220397</v>
      </c>
      <c r="D564" s="34">
        <v>0</v>
      </c>
      <c r="E564" s="34">
        <v>1220397</v>
      </c>
    </row>
    <row r="565" spans="1:5" ht="9" customHeight="1">
      <c r="A565" s="58"/>
      <c r="B565" s="20" t="s">
        <v>61</v>
      </c>
      <c r="C565" s="34"/>
      <c r="D565" s="34"/>
      <c r="E565" s="34"/>
    </row>
    <row r="566" spans="1:5" ht="12.75">
      <c r="A566" s="61"/>
      <c r="B566" s="23" t="s">
        <v>31</v>
      </c>
      <c r="C566" s="35">
        <f>SUM(D566,E566)</f>
        <v>778457</v>
      </c>
      <c r="D566" s="35">
        <v>0</v>
      </c>
      <c r="E566" s="35">
        <v>778457</v>
      </c>
    </row>
    <row r="567" spans="1:5" ht="12.75">
      <c r="A567" s="57" t="s">
        <v>167</v>
      </c>
      <c r="B567" s="22" t="s">
        <v>168</v>
      </c>
      <c r="C567" s="32">
        <f>SUM(D567,E567)</f>
        <v>550000</v>
      </c>
      <c r="D567" s="32">
        <v>0</v>
      </c>
      <c r="E567" s="32">
        <f>SUM(E568,)</f>
        <v>550000</v>
      </c>
    </row>
    <row r="568" spans="1:5" ht="19.5">
      <c r="A568" s="56" t="s">
        <v>173</v>
      </c>
      <c r="B568" s="28" t="s">
        <v>287</v>
      </c>
      <c r="C568" s="34">
        <f>SUM(D568,E568)</f>
        <v>550000</v>
      </c>
      <c r="D568" s="34">
        <v>0</v>
      </c>
      <c r="E568" s="34">
        <f>SUM(E569)</f>
        <v>550000</v>
      </c>
    </row>
    <row r="569" spans="1:5" ht="11.25" customHeight="1">
      <c r="A569" s="58"/>
      <c r="B569" s="20" t="s">
        <v>268</v>
      </c>
      <c r="C569" s="34">
        <f>SUM(D569,E569)</f>
        <v>550000</v>
      </c>
      <c r="D569" s="34">
        <v>0</v>
      </c>
      <c r="E569" s="34">
        <v>550000</v>
      </c>
    </row>
    <row r="570" spans="1:5" ht="9.75" customHeight="1">
      <c r="A570" s="58"/>
      <c r="B570" s="20" t="s">
        <v>7</v>
      </c>
      <c r="C570" s="34"/>
      <c r="D570" s="34"/>
      <c r="E570" s="34"/>
    </row>
    <row r="571" spans="1:5" ht="11.25" customHeight="1">
      <c r="A571" s="58"/>
      <c r="B571" s="20" t="s">
        <v>110</v>
      </c>
      <c r="C571" s="34">
        <f>SUM(D571,E571)</f>
        <v>525000</v>
      </c>
      <c r="D571" s="34">
        <v>0</v>
      </c>
      <c r="E571" s="34">
        <v>525000</v>
      </c>
    </row>
    <row r="572" spans="1:8" s="3" customFormat="1" ht="23.25" customHeight="1">
      <c r="A572" s="163" t="s">
        <v>245</v>
      </c>
      <c r="B572" s="164"/>
      <c r="C572" s="129">
        <f>SUM(D572,E572)</f>
        <v>419406922.71000004</v>
      </c>
      <c r="D572" s="129">
        <f>SUM(D543,D539,D481,D7)</f>
        <v>261684560.57</v>
      </c>
      <c r="E572" s="129">
        <f>SUM(E543,E539,E481,E7)</f>
        <v>157722362.14000002</v>
      </c>
      <c r="F572" s="102"/>
      <c r="G572" s="93"/>
      <c r="H572" s="6"/>
    </row>
    <row r="573" spans="1:8" s="74" customFormat="1" ht="22.5" customHeight="1">
      <c r="A573" s="165"/>
      <c r="B573" s="166"/>
      <c r="C573" s="144"/>
      <c r="D573" s="144"/>
      <c r="E573" s="144"/>
      <c r="F573" s="110"/>
      <c r="G573" s="115"/>
      <c r="H573" s="122"/>
    </row>
    <row r="574" spans="1:5" ht="15.75" customHeight="1">
      <c r="A574" s="67"/>
      <c r="B574" s="67"/>
      <c r="C574" s="67"/>
      <c r="D574" s="67"/>
      <c r="E574" s="12"/>
    </row>
    <row r="575" spans="1:5" ht="26.25" customHeight="1">
      <c r="A575" s="66"/>
      <c r="B575" s="47"/>
      <c r="C575" s="100"/>
      <c r="D575" s="73"/>
      <c r="E575" s="131"/>
    </row>
    <row r="577" spans="1:3" ht="12.75">
      <c r="A577" s="89"/>
      <c r="B577" s="88"/>
      <c r="C577" s="47"/>
    </row>
    <row r="578" spans="2:3" ht="12.75">
      <c r="B578" s="88"/>
      <c r="C578" s="99"/>
    </row>
    <row r="579" spans="2:3" ht="12.75">
      <c r="B579" s="88"/>
      <c r="C579" s="99"/>
    </row>
    <row r="580" spans="2:3" ht="12.75">
      <c r="B580" s="88"/>
      <c r="C580" s="99"/>
    </row>
    <row r="581" spans="2:3" ht="12.75">
      <c r="B581" s="88"/>
      <c r="C581" s="99"/>
    </row>
    <row r="582" spans="2:3" ht="12.75">
      <c r="B582" s="88"/>
      <c r="C582" s="99"/>
    </row>
    <row r="583" spans="2:3" ht="12.75">
      <c r="B583" s="88"/>
      <c r="C583" s="99"/>
    </row>
    <row r="584" spans="2:3" ht="12.75">
      <c r="B584" s="88"/>
      <c r="C584" s="99"/>
    </row>
    <row r="585" spans="2:3" ht="12.75">
      <c r="B585" s="88"/>
      <c r="C585" s="99"/>
    </row>
    <row r="586" spans="2:3" ht="12.75">
      <c r="B586" s="88"/>
      <c r="C586" s="99"/>
    </row>
    <row r="587" spans="2:3" ht="12.75">
      <c r="B587" s="88"/>
      <c r="C587" s="99"/>
    </row>
    <row r="588" spans="2:3" ht="12.75">
      <c r="B588" s="49"/>
      <c r="C588" s="100"/>
    </row>
  </sheetData>
  <mergeCells count="14">
    <mergeCell ref="A2:E2"/>
    <mergeCell ref="A4:A5"/>
    <mergeCell ref="B4:B5"/>
    <mergeCell ref="D1:E1"/>
    <mergeCell ref="A543:B543"/>
    <mergeCell ref="A572:B572"/>
    <mergeCell ref="A573:B573"/>
    <mergeCell ref="F5:G5"/>
    <mergeCell ref="A7:B7"/>
    <mergeCell ref="A481:B481"/>
    <mergeCell ref="A539:B539"/>
    <mergeCell ref="C4:C5"/>
    <mergeCell ref="D4:D5"/>
    <mergeCell ref="E4:E5"/>
  </mergeCells>
  <printOptions horizontalCentered="1"/>
  <pageMargins left="0.9448818897637796" right="0.9448818897637796" top="0.984251968503937" bottom="0.984251968503937" header="0.5118110236220472" footer="0.5118110236220472"/>
  <pageSetup firstPageNumber="15" useFirstPageNumber="1" horizontalDpi="600" verticalDpi="600" orientation="portrait" paperSize="9" r:id="rId1"/>
  <headerFooter alignWithMargins="0">
    <oddFooter>&amp;R&amp;P</oddFooter>
  </headerFooter>
  <rowBreaks count="10" manualBreakCount="10">
    <brk id="50" max="4" man="1"/>
    <brk id="102" max="4" man="1"/>
    <brk id="156" max="4" man="1"/>
    <brk id="213" max="4" man="1"/>
    <brk id="272" max="4" man="1"/>
    <brk id="326" max="4" man="1"/>
    <brk id="377" max="4" man="1"/>
    <brk id="432" max="4" man="1"/>
    <brk id="480" max="4" man="1"/>
    <brk id="52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Mariola Matusiak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Kaliszu</dc:creator>
  <cp:keywords/>
  <dc:description/>
  <cp:lastModifiedBy>Ewelina Dudek</cp:lastModifiedBy>
  <cp:lastPrinted>2010-01-14T12:51:32Z</cp:lastPrinted>
  <dcterms:created xsi:type="dcterms:W3CDTF">2004-09-20T09:27:01Z</dcterms:created>
  <dcterms:modified xsi:type="dcterms:W3CDTF">2010-01-14T13:15:48Z</dcterms:modified>
  <cp:category/>
  <cp:version/>
  <cp:contentType/>
  <cp:contentStatus/>
</cp:coreProperties>
</file>