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bez przewid. wykon." sheetId="1" r:id="rId1"/>
  </sheets>
  <definedNames>
    <definedName name="_xlnm.Print_Area" localSheetId="0">'bez przewid. wykon.'!$A$1:$D$101</definedName>
    <definedName name="_xlnm.Print_Titles" localSheetId="0">'bez przewid. wykon.'!$6:$8</definedName>
  </definedNames>
  <calcPr fullCalcOnLoad="1"/>
</workbook>
</file>

<file path=xl/sharedStrings.xml><?xml version="1.0" encoding="utf-8"?>
<sst xmlns="http://schemas.openxmlformats.org/spreadsheetml/2006/main" count="187" uniqueCount="187">
  <si>
    <t>L.p.</t>
  </si>
  <si>
    <t>Wyszczególnienie</t>
  </si>
  <si>
    <t>Dochody</t>
  </si>
  <si>
    <t>Wydatki</t>
  </si>
  <si>
    <t xml:space="preserve">          Rachunki dochodów własnych</t>
  </si>
  <si>
    <t>MIASTO</t>
  </si>
  <si>
    <t>I.</t>
  </si>
  <si>
    <t>Dz. 750 - Administracja publiczna                                                                                                                Rozdz. 75095 - Pozostała działalność</t>
  </si>
  <si>
    <t>I.1.</t>
  </si>
  <si>
    <t>Urząd Miejski w Kaliszu, Główny Rynek 20</t>
  </si>
  <si>
    <t>II.</t>
  </si>
  <si>
    <t>Dz. 801 - Oświata i wychowanie                                                                                                                                                                                Rozdz. 80101 - Szkoły podstawowe</t>
  </si>
  <si>
    <t>II.1.</t>
  </si>
  <si>
    <t>Szkoła Podstawowa  Nr 1, Kalisz ul. 3 Maja 16</t>
  </si>
  <si>
    <t>II.2.</t>
  </si>
  <si>
    <t>Szkoła Podstawowa Nr 2, Kalisz ul. Tuwima 4</t>
  </si>
  <si>
    <t>II.3.</t>
  </si>
  <si>
    <t>Szkoła Podstawowa  Nr 6,  Kalisz ul. Chełmska 18</t>
  </si>
  <si>
    <t>II.4.</t>
  </si>
  <si>
    <t>Szkoła Podstawowa  Nr 7, Kalisz ul. Robotnicza 5</t>
  </si>
  <si>
    <t>II.5.</t>
  </si>
  <si>
    <t>Szkoła Podstawowa  Nr 8, Kalisz ul. Serbinowska 22</t>
  </si>
  <si>
    <t>II.6.</t>
  </si>
  <si>
    <t>Szkoła Podstawowa  Nr 9, Kalisz ul Żwirki i Wigury 13</t>
  </si>
  <si>
    <t>II.7.</t>
  </si>
  <si>
    <t xml:space="preserve">Zespół Szkół Nr 7, Kalisz ul. Karpacka 3 </t>
  </si>
  <si>
    <t>II.8.</t>
  </si>
  <si>
    <t>II.9.</t>
  </si>
  <si>
    <t>Szkoła Podstawowa Nr 12, Kalisz ul. Długosza 14</t>
  </si>
  <si>
    <t>II.10.</t>
  </si>
  <si>
    <t>Szkoła Podstawowa Nr 13, Kalisz ul Kordeckiego 34</t>
  </si>
  <si>
    <t>II.11.</t>
  </si>
  <si>
    <t xml:space="preserve">Szkoła Podstawowa Nr 14, Kalisz ul. Mickiewicza 11  </t>
  </si>
  <si>
    <t>II.12.</t>
  </si>
  <si>
    <t>Zespół Szkolno-Przedszkolny Nr 1, Szkoła Podstawowa Nr  15, Kalisz ul. Wykopaliskowa 45</t>
  </si>
  <si>
    <t>II.13.</t>
  </si>
  <si>
    <t>Szkoła Podstawowa Nr 16, Kalisz ul. Fabryczna 13/15</t>
  </si>
  <si>
    <t>II.14.</t>
  </si>
  <si>
    <t>Szkoła Podstawowa Nr 17, Kalisz ul. Hanki Sawickiej 3 B</t>
  </si>
  <si>
    <t>II.15.</t>
  </si>
  <si>
    <t xml:space="preserve">Zespół Szkół Nr 10, Kalisz ul. Podmiejska 9 A  </t>
  </si>
  <si>
    <t>II.16.</t>
  </si>
  <si>
    <t>Zespół Szkolno-Przedszkolny Nr 2 Szkoła Podstawowa Nr 21, Kalisz ul. 25 Pułku Artylerii 4-8</t>
  </si>
  <si>
    <t>II.17.</t>
  </si>
  <si>
    <t>Szkoła Podstawowa Nr 23, Kalisz ul. Sulisławicka  108-110</t>
  </si>
  <si>
    <t>III.</t>
  </si>
  <si>
    <t>Dz. 801 - Oświata i wychowanie                                                                                                                                                                              Rozdz. 80104 - Przedszkola</t>
  </si>
  <si>
    <t>III.1.</t>
  </si>
  <si>
    <t>Publiczne Przedszkole Nr 1, Kalisz ul. Kazimierza Pułaskiego 52</t>
  </si>
  <si>
    <t>III.2.</t>
  </si>
  <si>
    <t>Publiczne Przedszkole Nr 3, Kalisz ul. Warszawska 8</t>
  </si>
  <si>
    <t>III.3.</t>
  </si>
  <si>
    <t>Publiczne Przedszkole Nr 9, Kalisz ul. Handlowa 4</t>
  </si>
  <si>
    <t>III.4.</t>
  </si>
  <si>
    <t>Publiczne Przedszkole Nr 11, Kalisz ul. Hanki Sawickiej 3A</t>
  </si>
  <si>
    <t>III.5.</t>
  </si>
  <si>
    <t>Publiczne Przedszkole Nr 12, Kalisz ul. Bankowa 5</t>
  </si>
  <si>
    <t>III.6.</t>
  </si>
  <si>
    <t>Publiczne Przedszkole Nr 14, Kalisz ul. Hanki Sawickiej 19A</t>
  </si>
  <si>
    <t>III.7.</t>
  </si>
  <si>
    <t>Publiczne Przedszkole Nr 15, Kalisz ul. Młynarska 30</t>
  </si>
  <si>
    <t>III.8.</t>
  </si>
  <si>
    <t>Publiczne Przedszkole Nr 16, Kalisz ul. Serbinowska 21</t>
  </si>
  <si>
    <t>III.9.</t>
  </si>
  <si>
    <t>Publiczne Przedszkole Nr 18, Kalisz ul. Serbinowska 5A</t>
  </si>
  <si>
    <t>III.10.</t>
  </si>
  <si>
    <t>Publiczne Przedszkole Nr 19, Kalisz ul. Widok 98A</t>
  </si>
  <si>
    <t>III.11.</t>
  </si>
  <si>
    <t>Publiczne Przedszkole Nr 20, Kalisz ul. Chełmska 6</t>
  </si>
  <si>
    <t>III.12.</t>
  </si>
  <si>
    <t>Zespół Szkolno-Przedszkolny Nr 1 Publiczne Przedszkole Nr 21, Kalisz ul. Wykopaliskowa 45</t>
  </si>
  <si>
    <t>III.13.</t>
  </si>
  <si>
    <t>III.14.</t>
  </si>
  <si>
    <t>Publiczne Przedszkole Nr 25, Kalisz ul. Adama Asnyka 6A</t>
  </si>
  <si>
    <t>III.15.</t>
  </si>
  <si>
    <t>Publiczne Przedszkole Nr 26, Kalisz ul. Robotnicza 5</t>
  </si>
  <si>
    <t>III.16.</t>
  </si>
  <si>
    <t>Publiczne Przedszkole Nr 27, Kalisz ul. Józefa Koszutskiego 29</t>
  </si>
  <si>
    <t>III.17.</t>
  </si>
  <si>
    <t>Publiczne Przedszkole Nr 28, Kalisz ul. Cmentarna 1-3</t>
  </si>
  <si>
    <t>III.18.</t>
  </si>
  <si>
    <t>Publiczne Przedszkole Nr 29, Kalisz Aleja Wojska Polskiego 30</t>
  </si>
  <si>
    <t>III19.</t>
  </si>
  <si>
    <t>Publiczne Przedszkole Nr 30, Kalisz ul. Legionów 29</t>
  </si>
  <si>
    <t>III.20.</t>
  </si>
  <si>
    <t>Zespół Szkolno-Przedszkolny Nr 3 Publiczne Przedszkole Nr 31, Kalisz ul. Świętego Michała 1</t>
  </si>
  <si>
    <t>IV.</t>
  </si>
  <si>
    <t>IV.1.</t>
  </si>
  <si>
    <t>IV.2.</t>
  </si>
  <si>
    <t>IV.3.</t>
  </si>
  <si>
    <t>Gimnazjum Nr 1, Kalisz ul. Tuwima 4</t>
  </si>
  <si>
    <t>IV.4.</t>
  </si>
  <si>
    <t>IV.5.</t>
  </si>
  <si>
    <t>Gimnazjum Nr 3, Kalisz ul. Teatralna 3</t>
  </si>
  <si>
    <t>Gimnazjum Nr 9, Kalisz ul. Hanki Sawickiej 22-24</t>
  </si>
  <si>
    <t>V.</t>
  </si>
  <si>
    <t>Dz. 853 - Pozostałe zadania w zakresie polityki społecznej                                                                                                                                                            Rozdz. 85305 - Żłobki</t>
  </si>
  <si>
    <t>V.1.</t>
  </si>
  <si>
    <t>Żłobek Nr 2, Kalisz ul. Babina 3a</t>
  </si>
  <si>
    <t>V.2.</t>
  </si>
  <si>
    <t>Żłobek Nr 3, Kalisz ul. Bogumiła i Barbary 14 a</t>
  </si>
  <si>
    <t>V.3.</t>
  </si>
  <si>
    <t>Żłobek Nr 4, Kalisz al. Wojska Polskiego 34</t>
  </si>
  <si>
    <t>POWIAT</t>
  </si>
  <si>
    <t>VI.</t>
  </si>
  <si>
    <t>Dz. 801 - Oświata i wychowanie                                                                                                                                                                                  Rozdz. 80102 - Szkoły podstawowe specjalne</t>
  </si>
  <si>
    <t>VI.1.</t>
  </si>
  <si>
    <t xml:space="preserve">Zespół Szkół Nr 11, Kalisz ul. Budowlanych 2 </t>
  </si>
  <si>
    <t>VII.</t>
  </si>
  <si>
    <t>Dz. 801 - Oświata i wychowanie                                                                                                                                                                                 Rozdz. 80120 - Licea ogólnokształcące</t>
  </si>
  <si>
    <t>VII.1.</t>
  </si>
  <si>
    <t>I Liceum Ogólnokształcące, Kalisz ul. Grodzka 1</t>
  </si>
  <si>
    <t>VII.2.</t>
  </si>
  <si>
    <t>II Liceum Ogólnokształcące, Kalisz ul. Szkolna 5</t>
  </si>
  <si>
    <t>VII.3.</t>
  </si>
  <si>
    <t>Zespół Szkół Ponadgimnazjalnych Nr 1, Kalisz ul. Kościuszki 10</t>
  </si>
  <si>
    <t>VII.4.</t>
  </si>
  <si>
    <t xml:space="preserve"> IV Liceum Ogólnokształcące, Kalisz ul. Widok 96 a</t>
  </si>
  <si>
    <t>VII.5.</t>
  </si>
  <si>
    <t>V Liceum Ogólnokształcące, Kalisz ul. Piskorzewie 6</t>
  </si>
  <si>
    <t>VIII.</t>
  </si>
  <si>
    <t>Dz. 801 - Oświata i wychowanie                                                                                                                                                                                Rozdz. 80130 - Szkoły zawodowe</t>
  </si>
  <si>
    <t>VIII.1.</t>
  </si>
  <si>
    <t>Zespół Szkół Ponadgimnazjalnych Nr 2, Kalisz ul. Rzemieślnicza 6</t>
  </si>
  <si>
    <t>VIII.2.</t>
  </si>
  <si>
    <t>Zespół Szkół Gastronomiczno-Hotelarskich, Kalisz ul. Wodna 11-13</t>
  </si>
  <si>
    <t>VIII.3.</t>
  </si>
  <si>
    <t>Zespół Szkół Ponadgimnazjalnych Nr 3, Kalisz ul. Wąska 13</t>
  </si>
  <si>
    <t>VIII.4.</t>
  </si>
  <si>
    <t>Zespół Szkół Ekonomicznych, Kalisz ul. Legionów 6</t>
  </si>
  <si>
    <t>VIII.5.</t>
  </si>
  <si>
    <t>VIII.6.</t>
  </si>
  <si>
    <t xml:space="preserve">Zespół Szkół Samochodowych, Kalisz ul. 3 Maja 18 </t>
  </si>
  <si>
    <t>IX.</t>
  </si>
  <si>
    <t>Dz. 801 - Oświata i wychowanie                                                                                                                                                                       Rozdz. 80132 - Szkoły artystyczne</t>
  </si>
  <si>
    <t>IX.1.</t>
  </si>
  <si>
    <t>X.</t>
  </si>
  <si>
    <t>Dz. 801 - Oświata i wychowanie                                                                                                                                                                             Rozdz. 80134 - Szkoły zawodowe specjalne</t>
  </si>
  <si>
    <t>X.1.</t>
  </si>
  <si>
    <t>XI.</t>
  </si>
  <si>
    <t>XI.1.</t>
  </si>
  <si>
    <t>Centrum Kształcenia Praktycznego, Kalisz ul. Rzemieślnicza 6</t>
  </si>
  <si>
    <t>XI.2.</t>
  </si>
  <si>
    <t>Centrum Kształcenia Ustawicznego, Kalisz, ul. Przemysłowa 1/2</t>
  </si>
  <si>
    <t>XII.</t>
  </si>
  <si>
    <t>Dz. 854 - Edukacyjna opieka wychowawcza                                                                                                                                                     Rozdz. 85403 - Specjalne ośrodki szkolno-wychowawcze</t>
  </si>
  <si>
    <t>XII.1.</t>
  </si>
  <si>
    <t>XIII.</t>
  </si>
  <si>
    <t>Dz. 854 - Edukacyjna opieka wychowawcza                                                                                                                                                   Rozdz. 85407 - Placówki wychowania pozaszkolnego</t>
  </si>
  <si>
    <t>XIII.1.</t>
  </si>
  <si>
    <t>Młodzieżowy Dom Kultury, Kalisz ul. Fabryczna 13-15</t>
  </si>
  <si>
    <t>XIV.</t>
  </si>
  <si>
    <t xml:space="preserve">Dz. 854 - Edukacyjna opieka wychowawcza                                                                                                                                                       Rozdz. 85410 - Internaty i bursy szkolne </t>
  </si>
  <si>
    <t>XIV.1.</t>
  </si>
  <si>
    <t>XV.</t>
  </si>
  <si>
    <t>Dz. 854 - Edukacyjna opieka wychowawcza                                                                                                                                                       Rozdz. 85417 - Szkolne schroniska młodzieżowe</t>
  </si>
  <si>
    <t>XV.1.</t>
  </si>
  <si>
    <t>Szkolne Schronisko Młodzieżowe, Kalisz ul. Handlowa 30</t>
  </si>
  <si>
    <t>Plan na 2010 r.</t>
  </si>
  <si>
    <t>PLAN DOCHODÓW I WYDATKÓW                                                                                                                                                               RACHUNKU DOCHODÓW WŁASNYCH KALISZA NA 2010 ROK</t>
  </si>
  <si>
    <t>Państwowa Szkoła Muzyczna I i II Stopnia, Kalisz                                                                      Pl. Jana Pawła II 9</t>
  </si>
  <si>
    <t>Zespół Szkół Techniczno-Elektronicznych, Kalisz                                         ul. Częstochowska 99</t>
  </si>
  <si>
    <t>Specjalny Ośrodek Szkolno – Wychowawczy Nr 1, Kalisz ul. Handlowa 30</t>
  </si>
  <si>
    <t>Specjalny Ośrodek Szkolno - Wychowawczy Nr 2, Kalisz ul. Kordeckiego 19</t>
  </si>
  <si>
    <t>Bursa przy Centrum Kształcenia Ustawicznego, Kalisz ul. Przemysłowa  1/2</t>
  </si>
  <si>
    <t>/w zł, gr/</t>
  </si>
  <si>
    <t>Dom Pomocy Społecznej, Kalisz ul. Winiarska 26</t>
  </si>
  <si>
    <t>XVI.</t>
  </si>
  <si>
    <t>XVI.1.</t>
  </si>
  <si>
    <t xml:space="preserve">Gimnazjum Nr 4, Kalisz ul. Polna 17 </t>
  </si>
  <si>
    <t>Gimnazjum Nr 2, Kalisz ul. Ciasna 16</t>
  </si>
  <si>
    <t xml:space="preserve">Szkoła Podstawowa Nr 11, Kalisz ul. Pomorska 7 </t>
  </si>
  <si>
    <t>Zespół Szkolno-Przedszkolny Nr 2 Publiczne Przedszkole Nr 22, Kalisz ul. 25 Pułku Artylerii 4-8</t>
  </si>
  <si>
    <t>Dz. 801 - Oświata i wychowanie                                                                                                                                                                                            Rozdz. 80110 - Gimnazja</t>
  </si>
  <si>
    <t>Zasadnicza Szkoła Zawodowa Specjalna wchodząca w skład Specjalnego Ośrodka Szkolno – Wychowawczego Nr 1, Kalisz ul. Handlowa 30</t>
  </si>
  <si>
    <t>Dz. 801 - Oświata i wychowanie                                                                                                                                                                          Rozdz. 80140 - Centra kształcenia ustawicznego i praktycznego oraz ośrodki dokształcania zawodowego</t>
  </si>
  <si>
    <t xml:space="preserve">Dz. 852 - Pomoc społeczna                                        Rozdz. 85202 - Domy pomocy społecznej </t>
  </si>
  <si>
    <t>XI.3.</t>
  </si>
  <si>
    <t>Centrum Kształcenia Ustawicznego i Praktycznego, Kalisz, ul. Handlowa 9</t>
  </si>
  <si>
    <t>Bursa przy Centrum Kształcenia Ustawicznego i Praktycznego, Kalisz ul. Handlowa 9</t>
  </si>
  <si>
    <t>Dz. 852 - Pomoc społeczna                                             Rozdz. 85201 - Placówki opiekuńczo - wychowawcze</t>
  </si>
  <si>
    <t>Dom Dziecka, Kalisz ul. Skarszewska 3</t>
  </si>
  <si>
    <t>XIV.2.</t>
  </si>
  <si>
    <t>XVI.2.</t>
  </si>
  <si>
    <t>XVII.</t>
  </si>
  <si>
    <t>XVII.1.</t>
  </si>
  <si>
    <t>Załącznik nr 2
do uchwały Nr III./22./2010
Rady Miejskiej Kalisza
z dnia 20  grudnia 2010 r.
w sprawie zmian w budżecie Kalisza - 
Miasta na prawach powiatu na 2010 rok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</si>
</sst>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_z_ł_-;\-* #,##0.00\ _z_ł_-;_-* \-??\ _z_ł_-;_-@_-"/>
    <numFmt numFmtId="165" formatCode="0.0"/>
    <numFmt numFmtId="166" formatCode="_-* #,##0\ _z_ł_-;\-* #,##0\ _z_ł_-;_-* \-??\ _z_ł_-;_-@_-"/>
    <numFmt numFmtId="167" formatCode="#,##0.00_ ;\-#,##0.00\ "/>
  </numFmts>
  <fonts count="17">
    <font>
      <sz val="10"/>
      <name val="Arial"/>
      <family val="2"/>
    </font>
    <font>
      <b/>
      <sz val="10"/>
      <name val="Arial CE"/>
      <family val="2"/>
    </font>
    <font>
      <b/>
      <sz val="10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9"/>
      <name val="Arial CE"/>
      <family val="2"/>
    </font>
    <font>
      <b/>
      <i/>
      <sz val="10"/>
      <color indexed="14"/>
      <name val="Arial"/>
      <family val="2"/>
    </font>
    <font>
      <b/>
      <sz val="9"/>
      <name val="Arial CE"/>
      <family val="2"/>
    </font>
    <font>
      <sz val="8"/>
      <name val="Arial"/>
      <family val="2"/>
    </font>
    <font>
      <sz val="6"/>
      <name val="Arial CE"/>
      <family val="0"/>
    </font>
    <font>
      <sz val="8"/>
      <name val="Arial CE"/>
      <family val="0"/>
    </font>
    <font>
      <i/>
      <sz val="10"/>
      <name val="Arial CE"/>
      <family val="2"/>
    </font>
    <font>
      <sz val="10"/>
      <name val="Arial CE"/>
      <family val="0"/>
    </font>
    <font>
      <i/>
      <sz val="9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166" fontId="8" fillId="0" borderId="0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0" fontId="8" fillId="2" borderId="0" xfId="0" applyFont="1" applyFill="1" applyBorder="1" applyAlignment="1">
      <alignment/>
    </xf>
    <xf numFmtId="164" fontId="8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/>
    </xf>
    <xf numFmtId="0" fontId="4" fillId="0" borderId="0" xfId="0" applyFont="1" applyFill="1" applyAlignment="1">
      <alignment vertic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64" fontId="7" fillId="0" borderId="0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4" fontId="2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4" fontId="8" fillId="0" borderId="1" xfId="17" applyNumberFormat="1" applyFont="1" applyFill="1" applyBorder="1" applyAlignment="1" applyProtection="1">
      <alignment horizontal="right" vertical="center"/>
      <protection/>
    </xf>
    <xf numFmtId="4" fontId="8" fillId="0" borderId="1" xfId="0" applyNumberFormat="1" applyFont="1" applyBorder="1" applyAlignment="1">
      <alignment vertical="center"/>
    </xf>
    <xf numFmtId="4" fontId="7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vertical="center" wrapText="1"/>
    </xf>
    <xf numFmtId="167" fontId="8" fillId="0" borderId="1" xfId="15" applyNumberFormat="1" applyFont="1" applyFill="1" applyBorder="1" applyAlignment="1" applyProtection="1">
      <alignment horizontal="right" vertical="center"/>
      <protection/>
    </xf>
    <xf numFmtId="167" fontId="8" fillId="0" borderId="1" xfId="0" applyNumberFormat="1" applyFont="1" applyFill="1" applyBorder="1" applyAlignment="1">
      <alignment horizontal="right" vertical="center"/>
    </xf>
    <xf numFmtId="167" fontId="8" fillId="0" borderId="1" xfId="0" applyNumberFormat="1" applyFont="1" applyBorder="1" applyAlignment="1">
      <alignment horizontal="right" vertical="center"/>
    </xf>
    <xf numFmtId="0" fontId="9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67" fontId="8" fillId="0" borderId="1" xfId="0" applyNumberFormat="1" applyFont="1" applyBorder="1" applyAlignment="1">
      <alignment vertical="center"/>
    </xf>
    <xf numFmtId="167" fontId="7" fillId="0" borderId="1" xfId="0" applyNumberFormat="1" applyFont="1" applyFill="1" applyBorder="1" applyAlignment="1">
      <alignment vertical="center"/>
    </xf>
    <xf numFmtId="167" fontId="8" fillId="0" borderId="1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horizontal="left" vertical="center" wrapText="1"/>
    </xf>
    <xf numFmtId="167" fontId="8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8" fillId="3" borderId="0" xfId="0" applyFont="1" applyFill="1" applyBorder="1" applyAlignment="1">
      <alignment/>
    </xf>
    <xf numFmtId="164" fontId="8" fillId="4" borderId="0" xfId="0" applyNumberFormat="1" applyFont="1" applyFill="1" applyBorder="1" applyAlignment="1">
      <alignment vertical="center"/>
    </xf>
    <xf numFmtId="0" fontId="8" fillId="4" borderId="0" xfId="0" applyFont="1" applyFill="1" applyBorder="1" applyAlignment="1">
      <alignment vertical="center"/>
    </xf>
    <xf numFmtId="0" fontId="8" fillId="4" borderId="0" xfId="0" applyFont="1" applyFill="1" applyBorder="1" applyAlignment="1">
      <alignment/>
    </xf>
    <xf numFmtId="0" fontId="11" fillId="0" borderId="0" xfId="0" applyFont="1" applyAlignment="1">
      <alignment horizontal="right" vertical="top" wrapText="1"/>
    </xf>
    <xf numFmtId="0" fontId="0" fillId="0" borderId="0" xfId="0" applyFill="1" applyAlignment="1">
      <alignment/>
    </xf>
    <xf numFmtId="0" fontId="13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/>
    </xf>
    <xf numFmtId="164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67" fontId="14" fillId="0" borderId="1" xfId="0" applyNumberFormat="1" applyFont="1" applyFill="1" applyBorder="1" applyAlignment="1">
      <alignment horizontal="right" vertical="center"/>
    </xf>
    <xf numFmtId="0" fontId="15" fillId="0" borderId="0" xfId="0" applyFont="1" applyFill="1" applyAlignment="1">
      <alignment horizontal="left" wrapText="1"/>
    </xf>
    <xf numFmtId="4" fontId="8" fillId="0" borderId="1" xfId="0" applyNumberFormat="1" applyFont="1" applyFill="1" applyBorder="1" applyAlignment="1">
      <alignment vertical="center"/>
    </xf>
    <xf numFmtId="167" fontId="16" fillId="0" borderId="1" xfId="0" applyNumberFormat="1" applyFont="1" applyFill="1" applyBorder="1" applyAlignment="1">
      <alignment horizontal="right" vertical="center"/>
    </xf>
    <xf numFmtId="4" fontId="0" fillId="0" borderId="1" xfId="0" applyNumberFormat="1" applyFont="1" applyFill="1" applyBorder="1" applyAlignment="1">
      <alignment vertical="center"/>
    </xf>
    <xf numFmtId="0" fontId="12" fillId="0" borderId="0" xfId="0" applyFont="1" applyFill="1" applyAlignment="1">
      <alignment horizontal="right" wrapText="1"/>
    </xf>
    <xf numFmtId="0" fontId="0" fillId="0" borderId="0" xfId="0" applyFill="1" applyAlignment="1">
      <alignment horizontal="right" wrapText="1"/>
    </xf>
    <xf numFmtId="0" fontId="13" fillId="0" borderId="0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Dziesiętny_2006 r. Plan rachunku doch. własnych  na jedn.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99"/>
  <sheetViews>
    <sheetView tabSelected="1" view="pageBreakPreview" zoomScale="120" zoomScaleSheetLayoutView="120" workbookViewId="0" topLeftCell="A1">
      <selection activeCell="C1" sqref="C1:D1"/>
    </sheetView>
  </sheetViews>
  <sheetFormatPr defaultColWidth="9.140625" defaultRowHeight="12.75"/>
  <cols>
    <col min="1" max="1" width="4.8515625" style="1" customWidth="1"/>
    <col min="2" max="2" width="42.421875" style="0" customWidth="1"/>
    <col min="3" max="3" width="15.57421875" style="0" customWidth="1"/>
    <col min="4" max="4" width="16.8515625" style="0" customWidth="1"/>
    <col min="5" max="5" width="11.57421875" style="0" customWidth="1"/>
  </cols>
  <sheetData>
    <row r="1" spans="2:5" ht="56.25" customHeight="1">
      <c r="B1" s="59"/>
      <c r="C1" s="63" t="s">
        <v>186</v>
      </c>
      <c r="D1" s="64"/>
      <c r="E1" s="52"/>
    </row>
    <row r="2" ht="6" customHeight="1"/>
    <row r="3" spans="1:4" s="53" customFormat="1" ht="25.5" customHeight="1">
      <c r="A3" s="68" t="s">
        <v>159</v>
      </c>
      <c r="B3" s="68"/>
      <c r="C3" s="68"/>
      <c r="D3" s="68"/>
    </row>
    <row r="4" spans="1:4" ht="12.75" customHeight="1">
      <c r="A4" s="65"/>
      <c r="B4" s="65"/>
      <c r="C4" s="65"/>
      <c r="D4" s="65"/>
    </row>
    <row r="5" spans="1:4" ht="12.75" customHeight="1">
      <c r="A5" s="2"/>
      <c r="B5" s="2"/>
      <c r="C5" s="2"/>
      <c r="D5" s="54" t="s">
        <v>165</v>
      </c>
    </row>
    <row r="6" spans="1:4" ht="12.75" customHeight="1">
      <c r="A6" s="69" t="s">
        <v>0</v>
      </c>
      <c r="B6" s="69" t="s">
        <v>1</v>
      </c>
      <c r="C6" s="70" t="s">
        <v>158</v>
      </c>
      <c r="D6" s="71"/>
    </row>
    <row r="7" spans="1:4" ht="14.25" customHeight="1">
      <c r="A7" s="69"/>
      <c r="B7" s="69"/>
      <c r="C7" s="47" t="s">
        <v>2</v>
      </c>
      <c r="D7" s="22" t="s">
        <v>3</v>
      </c>
    </row>
    <row r="8" spans="1:4" s="3" customFormat="1" ht="9" customHeight="1">
      <c r="A8" s="23">
        <v>1</v>
      </c>
      <c r="B8" s="23">
        <v>2</v>
      </c>
      <c r="C8" s="23">
        <v>3</v>
      </c>
      <c r="D8" s="23">
        <v>4</v>
      </c>
    </row>
    <row r="9" spans="1:4" s="4" customFormat="1" ht="22.5" customHeight="1">
      <c r="A9" s="66" t="s">
        <v>4</v>
      </c>
      <c r="B9" s="66"/>
      <c r="C9" s="24">
        <f>SUM(C10,C62)</f>
        <v>8940071</v>
      </c>
      <c r="D9" s="24">
        <f>SUM(D10,D62)</f>
        <v>10025326.53</v>
      </c>
    </row>
    <row r="10" spans="1:4" s="5" customFormat="1" ht="17.25" customHeight="1">
      <c r="A10" s="67" t="s">
        <v>5</v>
      </c>
      <c r="B10" s="67"/>
      <c r="C10" s="25">
        <f>SUM(C11,C13,C31,C52,C58)</f>
        <v>6569948</v>
      </c>
      <c r="D10" s="25">
        <f>SUM(D11,D13,D31,D52,D58)</f>
        <v>7302503.13</v>
      </c>
    </row>
    <row r="11" spans="1:4" s="6" customFormat="1" ht="30" customHeight="1">
      <c r="A11" s="26" t="s">
        <v>6</v>
      </c>
      <c r="B11" s="27" t="s">
        <v>7</v>
      </c>
      <c r="C11" s="28">
        <f>C12</f>
        <v>103400</v>
      </c>
      <c r="D11" s="28">
        <f>D12</f>
        <v>264353.82999999996</v>
      </c>
    </row>
    <row r="12" spans="1:4" s="7" customFormat="1" ht="13.5" customHeight="1">
      <c r="A12" s="29" t="s">
        <v>8</v>
      </c>
      <c r="B12" s="30" t="s">
        <v>9</v>
      </c>
      <c r="C12" s="62">
        <f>80000+23400</f>
        <v>103400</v>
      </c>
      <c r="D12" s="62">
        <f>80000+160953.83+23400</f>
        <v>264353.82999999996</v>
      </c>
    </row>
    <row r="13" spans="1:4" s="6" customFormat="1" ht="30" customHeight="1">
      <c r="A13" s="26" t="s">
        <v>10</v>
      </c>
      <c r="B13" s="27" t="s">
        <v>11</v>
      </c>
      <c r="C13" s="28">
        <f>SUM(C14:C30)</f>
        <v>868506</v>
      </c>
      <c r="D13" s="28">
        <f>SUM(D14:D30)</f>
        <v>1061256</v>
      </c>
    </row>
    <row r="14" spans="1:8" s="8" customFormat="1" ht="13.5" customHeight="1">
      <c r="A14" s="31" t="s">
        <v>12</v>
      </c>
      <c r="B14" s="35" t="s">
        <v>13</v>
      </c>
      <c r="C14" s="32">
        <f>21335+2500</f>
        <v>23835</v>
      </c>
      <c r="D14" s="33">
        <f>44635+2500</f>
        <v>47135</v>
      </c>
      <c r="F14" s="9"/>
      <c r="G14" s="10"/>
      <c r="H14" s="10"/>
    </row>
    <row r="15" spans="1:8" s="8" customFormat="1" ht="13.5" customHeight="1">
      <c r="A15" s="31" t="s">
        <v>14</v>
      </c>
      <c r="B15" s="35" t="s">
        <v>15</v>
      </c>
      <c r="C15" s="32">
        <v>4500</v>
      </c>
      <c r="D15" s="33">
        <v>4500</v>
      </c>
      <c r="F15" s="9"/>
      <c r="G15" s="10"/>
      <c r="H15" s="10"/>
    </row>
    <row r="16" spans="1:8" s="8" customFormat="1" ht="13.5" customHeight="1">
      <c r="A16" s="31" t="s">
        <v>16</v>
      </c>
      <c r="B16" s="35" t="s">
        <v>17</v>
      </c>
      <c r="C16" s="33">
        <f>3200+5001</f>
        <v>8201</v>
      </c>
      <c r="D16" s="60">
        <f>3200+2500+5001</f>
        <v>10701</v>
      </c>
      <c r="F16" s="9"/>
      <c r="G16" s="10"/>
      <c r="H16" s="10"/>
    </row>
    <row r="17" spans="1:8" s="8" customFormat="1" ht="13.5" customHeight="1">
      <c r="A17" s="31" t="s">
        <v>18</v>
      </c>
      <c r="B17" s="35" t="s">
        <v>19</v>
      </c>
      <c r="C17" s="33">
        <v>170200</v>
      </c>
      <c r="D17" s="33">
        <f>170200+60818</f>
        <v>231018</v>
      </c>
      <c r="F17" s="9"/>
      <c r="G17" s="10"/>
      <c r="H17" s="10"/>
    </row>
    <row r="18" spans="1:8" s="8" customFormat="1" ht="13.5" customHeight="1">
      <c r="A18" s="31" t="s">
        <v>20</v>
      </c>
      <c r="B18" s="35" t="s">
        <v>21</v>
      </c>
      <c r="C18" s="33">
        <v>50000</v>
      </c>
      <c r="D18" s="33">
        <f>50000+8000</f>
        <v>58000</v>
      </c>
      <c r="F18" s="9"/>
      <c r="G18" s="10"/>
      <c r="H18" s="10"/>
    </row>
    <row r="19" spans="1:8" s="8" customFormat="1" ht="13.5" customHeight="1">
      <c r="A19" s="31" t="s">
        <v>22</v>
      </c>
      <c r="B19" s="35" t="s">
        <v>23</v>
      </c>
      <c r="C19" s="34">
        <v>24000</v>
      </c>
      <c r="D19" s="33">
        <f>24000+3373</f>
        <v>27373</v>
      </c>
      <c r="F19" s="9"/>
      <c r="G19" s="10"/>
      <c r="H19" s="10"/>
    </row>
    <row r="20" spans="1:8" s="8" customFormat="1" ht="13.5" customHeight="1">
      <c r="A20" s="31" t="s">
        <v>24</v>
      </c>
      <c r="B20" s="35" t="s">
        <v>25</v>
      </c>
      <c r="C20" s="33">
        <f>43200+18000</f>
        <v>61200</v>
      </c>
      <c r="D20" s="33">
        <f>43200+26087</f>
        <v>69287</v>
      </c>
      <c r="F20" s="9"/>
      <c r="G20" s="10"/>
      <c r="H20" s="10"/>
    </row>
    <row r="21" spans="1:8" s="8" customFormat="1" ht="13.5" customHeight="1">
      <c r="A21" s="31" t="s">
        <v>26</v>
      </c>
      <c r="B21" s="35" t="s">
        <v>171</v>
      </c>
      <c r="C21" s="33">
        <f>40200</f>
        <v>40200</v>
      </c>
      <c r="D21" s="33">
        <v>40200</v>
      </c>
      <c r="F21" s="9"/>
      <c r="G21" s="10"/>
      <c r="H21" s="10"/>
    </row>
    <row r="22" spans="1:8" s="8" customFormat="1" ht="13.5" customHeight="1">
      <c r="A22" s="31" t="s">
        <v>27</v>
      </c>
      <c r="B22" s="35" t="s">
        <v>28</v>
      </c>
      <c r="C22" s="60">
        <f>33500+20000-11000</f>
        <v>42500</v>
      </c>
      <c r="D22" s="60">
        <f>33500+20000+13000</f>
        <v>66500</v>
      </c>
      <c r="F22" s="9"/>
      <c r="G22" s="10"/>
      <c r="H22" s="10"/>
    </row>
    <row r="23" spans="1:8" s="8" customFormat="1" ht="13.5" customHeight="1">
      <c r="A23" s="31" t="s">
        <v>29</v>
      </c>
      <c r="B23" s="35" t="s">
        <v>30</v>
      </c>
      <c r="C23" s="33">
        <f>63200-20000</f>
        <v>43200</v>
      </c>
      <c r="D23" s="33">
        <f>63200-18000</f>
        <v>45200</v>
      </c>
      <c r="F23" s="9"/>
      <c r="G23" s="10"/>
      <c r="H23" s="10"/>
    </row>
    <row r="24" spans="1:8" s="8" customFormat="1" ht="13.5" customHeight="1">
      <c r="A24" s="31" t="s">
        <v>31</v>
      </c>
      <c r="B24" s="35" t="s">
        <v>32</v>
      </c>
      <c r="C24" s="33">
        <v>60000</v>
      </c>
      <c r="D24" s="33">
        <f>60000+25594</f>
        <v>85594</v>
      </c>
      <c r="F24" s="9"/>
      <c r="G24" s="10"/>
      <c r="H24" s="10"/>
    </row>
    <row r="25" spans="1:8" s="8" customFormat="1" ht="24" customHeight="1">
      <c r="A25" s="31" t="s">
        <v>33</v>
      </c>
      <c r="B25" s="35" t="s">
        <v>34</v>
      </c>
      <c r="C25" s="33">
        <v>10000</v>
      </c>
      <c r="D25" s="33">
        <f>10000+2369</f>
        <v>12369</v>
      </c>
      <c r="F25" s="9"/>
      <c r="G25" s="10"/>
      <c r="H25" s="10"/>
    </row>
    <row r="26" spans="1:8" s="8" customFormat="1" ht="13.5" customHeight="1">
      <c r="A26" s="31" t="s">
        <v>35</v>
      </c>
      <c r="B26" s="35" t="s">
        <v>36</v>
      </c>
      <c r="C26" s="33">
        <f>44681+17789</f>
        <v>62470</v>
      </c>
      <c r="D26" s="33">
        <f>64581+17789</f>
        <v>82370</v>
      </c>
      <c r="F26" s="9"/>
      <c r="G26" s="10"/>
      <c r="H26" s="10"/>
    </row>
    <row r="27" spans="1:8" s="8" customFormat="1" ht="19.5" customHeight="1">
      <c r="A27" s="31" t="s">
        <v>37</v>
      </c>
      <c r="B27" s="35" t="s">
        <v>38</v>
      </c>
      <c r="C27" s="33">
        <f>150000-20000</f>
        <v>130000</v>
      </c>
      <c r="D27" s="33">
        <f>150000-20000</f>
        <v>130000</v>
      </c>
      <c r="F27" s="9"/>
      <c r="G27" s="10"/>
      <c r="H27" s="10"/>
    </row>
    <row r="28" spans="1:8" s="8" customFormat="1" ht="13.5" customHeight="1">
      <c r="A28" s="31" t="s">
        <v>39</v>
      </c>
      <c r="B28" s="35" t="s">
        <v>40</v>
      </c>
      <c r="C28" s="33">
        <v>135000</v>
      </c>
      <c r="D28" s="33">
        <f>135000+9800</f>
        <v>144800</v>
      </c>
      <c r="F28" s="9"/>
      <c r="G28" s="10"/>
      <c r="H28" s="10"/>
    </row>
    <row r="29" spans="1:8" s="8" customFormat="1" ht="24.75" customHeight="1">
      <c r="A29" s="31" t="s">
        <v>41</v>
      </c>
      <c r="B29" s="35" t="s">
        <v>42</v>
      </c>
      <c r="C29" s="33">
        <v>1200</v>
      </c>
      <c r="D29" s="33">
        <f>1200+1500</f>
        <v>2700</v>
      </c>
      <c r="F29" s="9"/>
      <c r="G29" s="10"/>
      <c r="H29" s="10"/>
    </row>
    <row r="30" spans="1:8" s="11" customFormat="1" ht="23.25" customHeight="1">
      <c r="A30" s="31" t="s">
        <v>43</v>
      </c>
      <c r="B30" s="35" t="s">
        <v>44</v>
      </c>
      <c r="C30" s="33">
        <v>2000</v>
      </c>
      <c r="D30" s="33">
        <f>2650+859</f>
        <v>3509</v>
      </c>
      <c r="F30" s="9"/>
      <c r="G30" s="12"/>
      <c r="H30" s="12"/>
    </row>
    <row r="31" spans="1:4" s="6" customFormat="1" ht="29.25" customHeight="1">
      <c r="A31" s="26" t="s">
        <v>45</v>
      </c>
      <c r="B31" s="27" t="s">
        <v>46</v>
      </c>
      <c r="C31" s="28">
        <f>SUM(C32:C51)</f>
        <v>4885478</v>
      </c>
      <c r="D31" s="28">
        <f>SUM(D32:D51)</f>
        <v>5168213</v>
      </c>
    </row>
    <row r="32" spans="1:39" s="13" customFormat="1" ht="24" customHeight="1">
      <c r="A32" s="29" t="s">
        <v>47</v>
      </c>
      <c r="B32" s="36" t="s">
        <v>48</v>
      </c>
      <c r="C32" s="37">
        <v>200500</v>
      </c>
      <c r="D32" s="38">
        <f>200500+20000</f>
        <v>220500</v>
      </c>
      <c r="F32" s="14"/>
      <c r="G32" s="15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</row>
    <row r="33" spans="1:39" s="13" customFormat="1" ht="13.5" customHeight="1">
      <c r="A33" s="29" t="s">
        <v>49</v>
      </c>
      <c r="B33" s="36" t="s">
        <v>50</v>
      </c>
      <c r="C33" s="37">
        <f>309300-19000</f>
        <v>290300</v>
      </c>
      <c r="D33" s="38">
        <f>309300-19000</f>
        <v>290300</v>
      </c>
      <c r="F33" s="14"/>
      <c r="G33" s="15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</row>
    <row r="34" spans="1:39" s="13" customFormat="1" ht="13.5" customHeight="1">
      <c r="A34" s="29" t="s">
        <v>51</v>
      </c>
      <c r="B34" s="36" t="s">
        <v>52</v>
      </c>
      <c r="C34" s="37">
        <v>179000</v>
      </c>
      <c r="D34" s="38">
        <v>179000</v>
      </c>
      <c r="F34" s="14"/>
      <c r="G34" s="15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</row>
    <row r="35" spans="1:39" s="13" customFormat="1" ht="26.25" customHeight="1">
      <c r="A35" s="29" t="s">
        <v>53</v>
      </c>
      <c r="B35" s="36" t="s">
        <v>54</v>
      </c>
      <c r="C35" s="37">
        <v>345540</v>
      </c>
      <c r="D35" s="38">
        <f>345540+20000</f>
        <v>365540</v>
      </c>
      <c r="F35" s="14"/>
      <c r="G35" s="15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</row>
    <row r="36" spans="1:39" s="13" customFormat="1" ht="13.5" customHeight="1">
      <c r="A36" s="29" t="s">
        <v>55</v>
      </c>
      <c r="B36" s="36" t="s">
        <v>56</v>
      </c>
      <c r="C36" s="37">
        <v>175400</v>
      </c>
      <c r="D36" s="38">
        <f>175400+28620</f>
        <v>204020</v>
      </c>
      <c r="F36" s="14"/>
      <c r="G36" s="15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</row>
    <row r="37" spans="1:39" s="13" customFormat="1" ht="24" customHeight="1">
      <c r="A37" s="29" t="s">
        <v>57</v>
      </c>
      <c r="B37" s="36" t="s">
        <v>58</v>
      </c>
      <c r="C37" s="37">
        <f>380500-20000</f>
        <v>360500</v>
      </c>
      <c r="D37" s="38">
        <f>380500+4000</f>
        <v>384500</v>
      </c>
      <c r="F37" s="14"/>
      <c r="G37" s="15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</row>
    <row r="38" spans="1:39" s="13" customFormat="1" ht="13.5" customHeight="1">
      <c r="A38" s="29" t="s">
        <v>59</v>
      </c>
      <c r="B38" s="36" t="s">
        <v>60</v>
      </c>
      <c r="C38" s="37">
        <f>246000+55600</f>
        <v>301600</v>
      </c>
      <c r="D38" s="38">
        <f>246000+55600</f>
        <v>301600</v>
      </c>
      <c r="F38" s="14"/>
      <c r="G38" s="15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</row>
    <row r="39" spans="1:39" s="13" customFormat="1" ht="22.5" customHeight="1">
      <c r="A39" s="29" t="s">
        <v>61</v>
      </c>
      <c r="B39" s="36" t="s">
        <v>62</v>
      </c>
      <c r="C39" s="37">
        <v>290000</v>
      </c>
      <c r="D39" s="38">
        <f>290000+10000</f>
        <v>300000</v>
      </c>
      <c r="F39" s="14"/>
      <c r="G39" s="15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</row>
    <row r="40" spans="1:39" s="13" customFormat="1" ht="21.75" customHeight="1">
      <c r="A40" s="29" t="s">
        <v>63</v>
      </c>
      <c r="B40" s="36" t="s">
        <v>64</v>
      </c>
      <c r="C40" s="37">
        <v>265300</v>
      </c>
      <c r="D40" s="38">
        <f>265300+17500</f>
        <v>282800</v>
      </c>
      <c r="F40" s="14"/>
      <c r="G40" s="15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</row>
    <row r="41" spans="1:39" s="13" customFormat="1" ht="13.5" customHeight="1">
      <c r="A41" s="29" t="s">
        <v>65</v>
      </c>
      <c r="B41" s="36" t="s">
        <v>66</v>
      </c>
      <c r="C41" s="37">
        <v>210000</v>
      </c>
      <c r="D41" s="38">
        <v>210000</v>
      </c>
      <c r="F41" s="14"/>
      <c r="G41" s="15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</row>
    <row r="42" spans="1:39" s="13" customFormat="1" ht="13.5" customHeight="1">
      <c r="A42" s="29" t="s">
        <v>67</v>
      </c>
      <c r="B42" s="36" t="s">
        <v>68</v>
      </c>
      <c r="C42" s="37">
        <v>165000</v>
      </c>
      <c r="D42" s="38">
        <v>165000</v>
      </c>
      <c r="F42" s="14"/>
      <c r="G42" s="15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</row>
    <row r="43" spans="1:39" s="13" customFormat="1" ht="24" customHeight="1">
      <c r="A43" s="29" t="s">
        <v>69</v>
      </c>
      <c r="B43" s="36" t="s">
        <v>70</v>
      </c>
      <c r="C43" s="37">
        <f>103000+28000</f>
        <v>131000</v>
      </c>
      <c r="D43" s="38">
        <f>126400+28000</f>
        <v>154400</v>
      </c>
      <c r="F43" s="14"/>
      <c r="G43" s="15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</row>
    <row r="44" spans="1:39" s="13" customFormat="1" ht="24.75" customHeight="1">
      <c r="A44" s="29" t="s">
        <v>71</v>
      </c>
      <c r="B44" s="36" t="s">
        <v>172</v>
      </c>
      <c r="C44" s="37">
        <v>125500</v>
      </c>
      <c r="D44" s="38">
        <v>161868</v>
      </c>
      <c r="F44" s="14"/>
      <c r="G44" s="15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</row>
    <row r="45" spans="1:39" s="13" customFormat="1" ht="21" customHeight="1">
      <c r="A45" s="29" t="s">
        <v>72</v>
      </c>
      <c r="B45" s="36" t="s">
        <v>73</v>
      </c>
      <c r="C45" s="37">
        <v>240500</v>
      </c>
      <c r="D45" s="38">
        <f>240500+15000</f>
        <v>255500</v>
      </c>
      <c r="F45" s="14"/>
      <c r="G45" s="15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</row>
    <row r="46" spans="1:39" s="13" customFormat="1" ht="13.5" customHeight="1">
      <c r="A46" s="29" t="s">
        <v>74</v>
      </c>
      <c r="B46" s="36" t="s">
        <v>75</v>
      </c>
      <c r="C46" s="37">
        <v>345000</v>
      </c>
      <c r="D46" s="38">
        <v>345000</v>
      </c>
      <c r="F46" s="14"/>
      <c r="G46" s="15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</row>
    <row r="47" spans="1:39" s="13" customFormat="1" ht="23.25" customHeight="1">
      <c r="A47" s="29" t="s">
        <v>76</v>
      </c>
      <c r="B47" s="36" t="s">
        <v>77</v>
      </c>
      <c r="C47" s="37">
        <f>392500-50000</f>
        <v>342500</v>
      </c>
      <c r="D47" s="38">
        <f>392500-10100</f>
        <v>382400</v>
      </c>
      <c r="F47" s="14"/>
      <c r="G47" s="15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</row>
    <row r="48" spans="1:39" s="13" customFormat="1" ht="20.25" customHeight="1">
      <c r="A48" s="29" t="s">
        <v>78</v>
      </c>
      <c r="B48" s="36" t="s">
        <v>79</v>
      </c>
      <c r="C48" s="37">
        <v>196500</v>
      </c>
      <c r="D48" s="38">
        <v>196500</v>
      </c>
      <c r="F48" s="14"/>
      <c r="G48" s="15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</row>
    <row r="49" spans="1:39" s="13" customFormat="1" ht="23.25" customHeight="1">
      <c r="A49" s="29" t="s">
        <v>80</v>
      </c>
      <c r="B49" s="36" t="s">
        <v>81</v>
      </c>
      <c r="C49" s="37">
        <f>300000+1500</f>
        <v>301500</v>
      </c>
      <c r="D49" s="38">
        <f>300000+29000+2700</f>
        <v>331700</v>
      </c>
      <c r="F49" s="14"/>
      <c r="G49" s="15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</row>
    <row r="50" spans="1:39" s="13" customFormat="1" ht="13.5" customHeight="1">
      <c r="A50" s="29" t="s">
        <v>82</v>
      </c>
      <c r="B50" s="36" t="s">
        <v>83</v>
      </c>
      <c r="C50" s="37">
        <f>265422+8000</f>
        <v>273422</v>
      </c>
      <c r="D50" s="38">
        <f>265422+23517</f>
        <v>288939</v>
      </c>
      <c r="F50" s="14"/>
      <c r="G50" s="15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</row>
    <row r="51" spans="1:39" s="13" customFormat="1" ht="24.75" customHeight="1">
      <c r="A51" s="29" t="s">
        <v>84</v>
      </c>
      <c r="B51" s="36" t="s">
        <v>85</v>
      </c>
      <c r="C51" s="37">
        <v>146416</v>
      </c>
      <c r="D51" s="38">
        <f>146416+2230</f>
        <v>148646</v>
      </c>
      <c r="F51" s="14"/>
      <c r="G51" s="15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</row>
    <row r="52" spans="1:4" s="6" customFormat="1" ht="30" customHeight="1">
      <c r="A52" s="26" t="s">
        <v>86</v>
      </c>
      <c r="B52" s="27" t="s">
        <v>173</v>
      </c>
      <c r="C52" s="28">
        <f>SUM(C53:C57)</f>
        <v>281624</v>
      </c>
      <c r="D52" s="28">
        <f>SUM(D53:D57)</f>
        <v>329023</v>
      </c>
    </row>
    <row r="53" spans="1:39" s="13" customFormat="1" ht="13.5" customHeight="1">
      <c r="A53" s="31" t="s">
        <v>87</v>
      </c>
      <c r="B53" s="35" t="s">
        <v>90</v>
      </c>
      <c r="C53" s="39">
        <f>28000+3000</f>
        <v>31000</v>
      </c>
      <c r="D53" s="39">
        <f>31450+3000</f>
        <v>34450</v>
      </c>
      <c r="F53" s="14"/>
      <c r="G53" s="15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</row>
    <row r="54" spans="1:8" s="8" customFormat="1" ht="13.5" customHeight="1">
      <c r="A54" s="31" t="s">
        <v>88</v>
      </c>
      <c r="B54" s="35" t="s">
        <v>170</v>
      </c>
      <c r="C54" s="39">
        <v>25000</v>
      </c>
      <c r="D54" s="39">
        <f>25000+1760</f>
        <v>26760</v>
      </c>
      <c r="F54" s="9"/>
      <c r="G54" s="10"/>
      <c r="H54" s="10"/>
    </row>
    <row r="55" spans="1:8" s="8" customFormat="1" ht="13.5" customHeight="1">
      <c r="A55" s="31" t="s">
        <v>89</v>
      </c>
      <c r="B55" s="35" t="s">
        <v>93</v>
      </c>
      <c r="C55" s="39">
        <v>74000</v>
      </c>
      <c r="D55" s="39">
        <f>74000+7022</f>
        <v>81022</v>
      </c>
      <c r="F55" s="9"/>
      <c r="G55" s="10"/>
      <c r="H55" s="10"/>
    </row>
    <row r="56" spans="1:8" s="8" customFormat="1" ht="13.5" customHeight="1">
      <c r="A56" s="31" t="s">
        <v>91</v>
      </c>
      <c r="B56" s="45" t="s">
        <v>169</v>
      </c>
      <c r="C56" s="38">
        <f>23000+3024+8000+2600</f>
        <v>36624</v>
      </c>
      <c r="D56" s="38">
        <f>23000+3024+8000+6867</f>
        <v>40891</v>
      </c>
      <c r="F56" s="9"/>
      <c r="G56" s="10"/>
      <c r="H56" s="10"/>
    </row>
    <row r="57" spans="1:8" s="8" customFormat="1" ht="13.5" customHeight="1">
      <c r="A57" s="31" t="s">
        <v>92</v>
      </c>
      <c r="B57" s="35" t="s">
        <v>94</v>
      </c>
      <c r="C57" s="39">
        <v>115000</v>
      </c>
      <c r="D57" s="39">
        <f>115000+30900</f>
        <v>145900</v>
      </c>
      <c r="F57" s="9"/>
      <c r="G57" s="10"/>
      <c r="H57" s="10"/>
    </row>
    <row r="58" spans="1:4" s="6" customFormat="1" ht="36.75" customHeight="1">
      <c r="A58" s="26" t="s">
        <v>95</v>
      </c>
      <c r="B58" s="27" t="s">
        <v>96</v>
      </c>
      <c r="C58" s="28">
        <f>SUM(C59:C61)</f>
        <v>430940</v>
      </c>
      <c r="D58" s="28">
        <f>SUM(D59:D61)</f>
        <v>479657.30000000005</v>
      </c>
    </row>
    <row r="59" spans="1:39" s="48" customFormat="1" ht="13.5" customHeight="1">
      <c r="A59" s="29" t="s">
        <v>97</v>
      </c>
      <c r="B59" s="45" t="s">
        <v>98</v>
      </c>
      <c r="C59" s="38">
        <f>112000+1640+8500+5500</f>
        <v>127640</v>
      </c>
      <c r="D59" s="38">
        <f>112000+1640+1237.4+8500+5500</f>
        <v>128877.4</v>
      </c>
      <c r="F59" s="49"/>
      <c r="G59" s="50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</row>
    <row r="60" spans="1:8" s="8" customFormat="1" ht="13.5" customHeight="1">
      <c r="A60" s="29" t="s">
        <v>99</v>
      </c>
      <c r="B60" s="45" t="s">
        <v>100</v>
      </c>
      <c r="C60" s="38">
        <f>160000+11300</f>
        <v>171300</v>
      </c>
      <c r="D60" s="38">
        <f>160000+39840.37+11300</f>
        <v>211140.37</v>
      </c>
      <c r="F60" s="9"/>
      <c r="G60" s="10"/>
      <c r="H60" s="10"/>
    </row>
    <row r="61" spans="1:8" s="8" customFormat="1" ht="13.5" customHeight="1">
      <c r="A61" s="31" t="s">
        <v>101</v>
      </c>
      <c r="B61" s="35" t="s">
        <v>102</v>
      </c>
      <c r="C61" s="38">
        <f>120000+12000</f>
        <v>132000</v>
      </c>
      <c r="D61" s="38">
        <f>120000+7639.53+12000</f>
        <v>139639.53</v>
      </c>
      <c r="F61" s="9"/>
      <c r="G61" s="10"/>
      <c r="H61" s="10"/>
    </row>
    <row r="62" spans="1:4" s="17" customFormat="1" ht="18.75" customHeight="1">
      <c r="A62" s="40"/>
      <c r="B62" s="41" t="s">
        <v>103</v>
      </c>
      <c r="C62" s="25">
        <f>SUM(C63,C65,C71,C78,C80,C82,C90,C93,C95,C98,C88,C86)</f>
        <v>2370123</v>
      </c>
      <c r="D62" s="25">
        <f>SUM(D63,D65,D71,D78,D80,D82,D90,D93,D95,D98,D88,D86)</f>
        <v>2722823.4</v>
      </c>
    </row>
    <row r="63" spans="1:4" s="6" customFormat="1" ht="28.5" customHeight="1">
      <c r="A63" s="26" t="s">
        <v>104</v>
      </c>
      <c r="B63" s="27" t="s">
        <v>105</v>
      </c>
      <c r="C63" s="28">
        <f>SUM(C64)</f>
        <v>14577</v>
      </c>
      <c r="D63" s="28">
        <f>SUM(D64)</f>
        <v>21177</v>
      </c>
    </row>
    <row r="64" spans="1:8" s="11" customFormat="1" ht="13.5" customHeight="1">
      <c r="A64" s="31" t="s">
        <v>106</v>
      </c>
      <c r="B64" s="35" t="s">
        <v>107</v>
      </c>
      <c r="C64" s="42">
        <v>14577</v>
      </c>
      <c r="D64" s="42">
        <f>17577+3600</f>
        <v>21177</v>
      </c>
      <c r="F64" s="9"/>
      <c r="G64" s="12"/>
      <c r="H64" s="12"/>
    </row>
    <row r="65" spans="1:4" s="6" customFormat="1" ht="29.25" customHeight="1">
      <c r="A65" s="26" t="s">
        <v>108</v>
      </c>
      <c r="B65" s="27" t="s">
        <v>109</v>
      </c>
      <c r="C65" s="28">
        <f>SUM(C66:C70)</f>
        <v>505646</v>
      </c>
      <c r="D65" s="28">
        <f>SUM(D66:D70)</f>
        <v>598546</v>
      </c>
    </row>
    <row r="66" spans="1:7" s="16" customFormat="1" ht="13.5" customHeight="1">
      <c r="A66" s="29" t="s">
        <v>110</v>
      </c>
      <c r="B66" s="30" t="s">
        <v>111</v>
      </c>
      <c r="C66" s="43">
        <v>13000</v>
      </c>
      <c r="D66" s="43">
        <v>13000</v>
      </c>
      <c r="F66" s="15"/>
      <c r="G66" s="15"/>
    </row>
    <row r="67" spans="1:7" s="16" customFormat="1" ht="13.5" customHeight="1">
      <c r="A67" s="29" t="s">
        <v>112</v>
      </c>
      <c r="B67" s="30" t="s">
        <v>113</v>
      </c>
      <c r="C67" s="43">
        <f>87000+10000+70000</f>
        <v>167000</v>
      </c>
      <c r="D67" s="43">
        <f>115000+10000+70000</f>
        <v>195000</v>
      </c>
      <c r="F67" s="15"/>
      <c r="G67" s="15"/>
    </row>
    <row r="68" spans="1:7" s="16" customFormat="1" ht="24" customHeight="1">
      <c r="A68" s="29" t="s">
        <v>114</v>
      </c>
      <c r="B68" s="30" t="s">
        <v>115</v>
      </c>
      <c r="C68" s="43">
        <v>132546</v>
      </c>
      <c r="D68" s="43">
        <v>147446</v>
      </c>
      <c r="F68" s="15"/>
      <c r="G68" s="15"/>
    </row>
    <row r="69" spans="1:7" s="16" customFormat="1" ht="13.5" customHeight="1">
      <c r="A69" s="29" t="s">
        <v>116</v>
      </c>
      <c r="B69" s="30" t="s">
        <v>117</v>
      </c>
      <c r="C69" s="43">
        <v>110100</v>
      </c>
      <c r="D69" s="43">
        <v>135100</v>
      </c>
      <c r="F69" s="15"/>
      <c r="G69" s="15"/>
    </row>
    <row r="70" spans="1:7" s="16" customFormat="1" ht="13.5" customHeight="1">
      <c r="A70" s="29" t="s">
        <v>118</v>
      </c>
      <c r="B70" s="30" t="s">
        <v>119</v>
      </c>
      <c r="C70" s="43">
        <v>83000</v>
      </c>
      <c r="D70" s="43">
        <f>83000+25000</f>
        <v>108000</v>
      </c>
      <c r="F70" s="15"/>
      <c r="G70" s="15"/>
    </row>
    <row r="71" spans="1:4" s="6" customFormat="1" ht="30" customHeight="1">
      <c r="A71" s="26" t="s">
        <v>120</v>
      </c>
      <c r="B71" s="27" t="s">
        <v>121</v>
      </c>
      <c r="C71" s="28">
        <f>SUM(C72:C77)</f>
        <v>612986</v>
      </c>
      <c r="D71" s="28">
        <f>SUM(D72:D77)</f>
        <v>700135</v>
      </c>
    </row>
    <row r="72" spans="1:7" s="16" customFormat="1" ht="24.75" customHeight="1">
      <c r="A72" s="29" t="s">
        <v>122</v>
      </c>
      <c r="B72" s="30" t="s">
        <v>123</v>
      </c>
      <c r="C72" s="43">
        <v>182030</v>
      </c>
      <c r="D72" s="43">
        <f>182030+10000</f>
        <v>192030</v>
      </c>
      <c r="F72" s="15"/>
      <c r="G72" s="15"/>
    </row>
    <row r="73" spans="1:7" s="16" customFormat="1" ht="21.75" customHeight="1">
      <c r="A73" s="29" t="s">
        <v>124</v>
      </c>
      <c r="B73" s="30" t="s">
        <v>125</v>
      </c>
      <c r="C73" s="43">
        <v>305000</v>
      </c>
      <c r="D73" s="43">
        <f>305000+42000</f>
        <v>347000</v>
      </c>
      <c r="F73" s="15"/>
      <c r="G73" s="15"/>
    </row>
    <row r="74" spans="1:7" s="16" customFormat="1" ht="23.25" customHeight="1">
      <c r="A74" s="29" t="s">
        <v>126</v>
      </c>
      <c r="B74" s="30" t="s">
        <v>127</v>
      </c>
      <c r="C74" s="43">
        <v>10560</v>
      </c>
      <c r="D74" s="43">
        <v>10560</v>
      </c>
      <c r="F74" s="15"/>
      <c r="G74" s="15"/>
    </row>
    <row r="75" spans="1:7" s="16" customFormat="1" ht="13.5" customHeight="1">
      <c r="A75" s="29" t="s">
        <v>128</v>
      </c>
      <c r="B75" s="30" t="s">
        <v>129</v>
      </c>
      <c r="C75" s="43">
        <v>25500</v>
      </c>
      <c r="D75" s="43">
        <v>25500</v>
      </c>
      <c r="F75" s="15"/>
      <c r="G75" s="15"/>
    </row>
    <row r="76" spans="1:7" s="16" customFormat="1" ht="24.75" customHeight="1">
      <c r="A76" s="29" t="s">
        <v>130</v>
      </c>
      <c r="B76" s="30" t="s">
        <v>161</v>
      </c>
      <c r="C76" s="43">
        <v>30000</v>
      </c>
      <c r="D76" s="43">
        <f>30000+2000</f>
        <v>32000</v>
      </c>
      <c r="F76" s="15"/>
      <c r="G76" s="15"/>
    </row>
    <row r="77" spans="1:7" s="18" customFormat="1" ht="13.5" customHeight="1">
      <c r="A77" s="29" t="s">
        <v>131</v>
      </c>
      <c r="B77" s="30" t="s">
        <v>132</v>
      </c>
      <c r="C77" s="43">
        <f>20000+9658+30238</f>
        <v>59896</v>
      </c>
      <c r="D77" s="43">
        <f>53149+9658+30238</f>
        <v>93045</v>
      </c>
      <c r="F77" s="19"/>
      <c r="G77" s="19"/>
    </row>
    <row r="78" spans="1:4" s="6" customFormat="1" ht="28.5" customHeight="1">
      <c r="A78" s="26" t="s">
        <v>133</v>
      </c>
      <c r="B78" s="27" t="s">
        <v>134</v>
      </c>
      <c r="C78" s="28">
        <f>SUM(C79)</f>
        <v>36699</v>
      </c>
      <c r="D78" s="28">
        <f>SUM(D79)</f>
        <v>36699</v>
      </c>
    </row>
    <row r="79" spans="1:6" s="20" customFormat="1" ht="24" customHeight="1">
      <c r="A79" s="29" t="s">
        <v>135</v>
      </c>
      <c r="B79" s="30" t="s">
        <v>160</v>
      </c>
      <c r="C79" s="38">
        <f>28879+4798+3022</f>
        <v>36699</v>
      </c>
      <c r="D79" s="38">
        <f>28879+4798+3022</f>
        <v>36699</v>
      </c>
      <c r="F79" s="21"/>
    </row>
    <row r="80" spans="1:4" s="6" customFormat="1" ht="27.75" customHeight="1">
      <c r="A80" s="26" t="s">
        <v>136</v>
      </c>
      <c r="B80" s="27" t="s">
        <v>137</v>
      </c>
      <c r="C80" s="28">
        <f>SUM(C81)</f>
        <v>70000</v>
      </c>
      <c r="D80" s="28">
        <f>SUM(D81)</f>
        <v>79900</v>
      </c>
    </row>
    <row r="81" spans="1:7" s="18" customFormat="1" ht="38.25" customHeight="1">
      <c r="A81" s="29" t="s">
        <v>138</v>
      </c>
      <c r="B81" s="30" t="s">
        <v>174</v>
      </c>
      <c r="C81" s="44">
        <v>70000</v>
      </c>
      <c r="D81" s="44">
        <f>78000+1900</f>
        <v>79900</v>
      </c>
      <c r="F81" s="19"/>
      <c r="G81" s="19"/>
    </row>
    <row r="82" spans="1:4" s="6" customFormat="1" ht="46.5" customHeight="1">
      <c r="A82" s="26" t="s">
        <v>139</v>
      </c>
      <c r="B82" s="27" t="s">
        <v>175</v>
      </c>
      <c r="C82" s="28">
        <f>SUM(C83:C85)</f>
        <v>140442</v>
      </c>
      <c r="D82" s="28">
        <f>SUM(D83:D85)</f>
        <v>153517</v>
      </c>
    </row>
    <row r="83" spans="1:7" s="18" customFormat="1" ht="24" customHeight="1">
      <c r="A83" s="29" t="s">
        <v>140</v>
      </c>
      <c r="B83" s="30" t="s">
        <v>141</v>
      </c>
      <c r="C83" s="38">
        <f>213400-101649</f>
        <v>111751</v>
      </c>
      <c r="D83" s="38">
        <f>213400-88574</f>
        <v>124826</v>
      </c>
      <c r="F83" s="21"/>
      <c r="G83" s="19"/>
    </row>
    <row r="84" spans="1:7" s="18" customFormat="1" ht="26.25" customHeight="1">
      <c r="A84" s="29" t="s">
        <v>142</v>
      </c>
      <c r="B84" s="30" t="s">
        <v>143</v>
      </c>
      <c r="C84" s="38">
        <f>5000-5000</f>
        <v>0</v>
      </c>
      <c r="D84" s="38">
        <f>5000-5000</f>
        <v>0</v>
      </c>
      <c r="F84" s="21"/>
      <c r="G84" s="19"/>
    </row>
    <row r="85" spans="1:7" s="18" customFormat="1" ht="26.25" customHeight="1">
      <c r="A85" s="29" t="s">
        <v>177</v>
      </c>
      <c r="B85" s="30" t="s">
        <v>178</v>
      </c>
      <c r="C85" s="38">
        <f>25000+3691</f>
        <v>28691</v>
      </c>
      <c r="D85" s="38">
        <f>25000+3691</f>
        <v>28691</v>
      </c>
      <c r="F85" s="21"/>
      <c r="G85" s="19"/>
    </row>
    <row r="86" spans="1:7" s="55" customFormat="1" ht="26.25" customHeight="1">
      <c r="A86" s="26" t="s">
        <v>144</v>
      </c>
      <c r="B86" s="27" t="s">
        <v>180</v>
      </c>
      <c r="C86" s="61">
        <f>SUM(C87)</f>
        <v>35800</v>
      </c>
      <c r="D86" s="61">
        <f>SUM(D87)</f>
        <v>48634</v>
      </c>
      <c r="F86" s="56"/>
      <c r="G86" s="57"/>
    </row>
    <row r="87" spans="1:7" s="18" customFormat="1" ht="26.25" customHeight="1">
      <c r="A87" s="29" t="s">
        <v>146</v>
      </c>
      <c r="B87" s="30" t="s">
        <v>181</v>
      </c>
      <c r="C87" s="38">
        <v>35800</v>
      </c>
      <c r="D87" s="38">
        <v>48634</v>
      </c>
      <c r="F87" s="21"/>
      <c r="G87" s="19"/>
    </row>
    <row r="88" spans="1:7" s="55" customFormat="1" ht="30" customHeight="1">
      <c r="A88" s="26" t="s">
        <v>147</v>
      </c>
      <c r="B88" s="27" t="s">
        <v>176</v>
      </c>
      <c r="C88" s="58">
        <f>SUM(C89)</f>
        <v>1150</v>
      </c>
      <c r="D88" s="58">
        <f>SUM(D89)</f>
        <v>1470.4</v>
      </c>
      <c r="F88" s="56"/>
      <c r="G88" s="57"/>
    </row>
    <row r="89" spans="1:7" s="18" customFormat="1" ht="20.25" customHeight="1">
      <c r="A89" s="29" t="s">
        <v>149</v>
      </c>
      <c r="B89" s="30" t="s">
        <v>166</v>
      </c>
      <c r="C89" s="38">
        <v>1150</v>
      </c>
      <c r="D89" s="38">
        <v>1470.4</v>
      </c>
      <c r="F89" s="21"/>
      <c r="G89" s="19"/>
    </row>
    <row r="90" spans="1:4" s="6" customFormat="1" ht="37.5" customHeight="1">
      <c r="A90" s="26" t="s">
        <v>151</v>
      </c>
      <c r="B90" s="27" t="s">
        <v>145</v>
      </c>
      <c r="C90" s="28">
        <f>SUM(C91:C92)</f>
        <v>491071</v>
      </c>
      <c r="D90" s="28">
        <f>SUM(D91:D92)</f>
        <v>553471</v>
      </c>
    </row>
    <row r="91" spans="1:7" s="18" customFormat="1" ht="23.25" customHeight="1">
      <c r="A91" s="29" t="s">
        <v>153</v>
      </c>
      <c r="B91" s="45" t="s">
        <v>162</v>
      </c>
      <c r="C91" s="46">
        <v>301071</v>
      </c>
      <c r="D91" s="46">
        <f>337071+1400</f>
        <v>338471</v>
      </c>
      <c r="F91" s="21"/>
      <c r="G91" s="19"/>
    </row>
    <row r="92" spans="1:7" s="18" customFormat="1" ht="24.75" customHeight="1">
      <c r="A92" s="29" t="s">
        <v>182</v>
      </c>
      <c r="B92" s="45" t="s">
        <v>163</v>
      </c>
      <c r="C92" s="46">
        <f>220000-30000</f>
        <v>190000</v>
      </c>
      <c r="D92" s="46">
        <f>220000+25000-30000</f>
        <v>215000</v>
      </c>
      <c r="F92" s="21"/>
      <c r="G92" s="19"/>
    </row>
    <row r="93" spans="1:4" s="6" customFormat="1" ht="36" customHeight="1">
      <c r="A93" s="26" t="s">
        <v>154</v>
      </c>
      <c r="B93" s="27" t="s">
        <v>148</v>
      </c>
      <c r="C93" s="28">
        <f>SUM(C94)</f>
        <v>31150</v>
      </c>
      <c r="D93" s="28">
        <f>SUM(D94)</f>
        <v>31150</v>
      </c>
    </row>
    <row r="94" spans="1:6" s="20" customFormat="1" ht="16.5" customHeight="1">
      <c r="A94" s="29" t="s">
        <v>156</v>
      </c>
      <c r="B94" s="30" t="s">
        <v>150</v>
      </c>
      <c r="C94" s="38">
        <f>10000+21150</f>
        <v>31150</v>
      </c>
      <c r="D94" s="38">
        <f>10000+21150</f>
        <v>31150</v>
      </c>
      <c r="F94" s="21"/>
    </row>
    <row r="95" spans="1:4" s="6" customFormat="1" ht="30.75" customHeight="1">
      <c r="A95" s="26" t="s">
        <v>167</v>
      </c>
      <c r="B95" s="27" t="s">
        <v>152</v>
      </c>
      <c r="C95" s="28">
        <f>SUM(C96:C97)</f>
        <v>400602</v>
      </c>
      <c r="D95" s="28">
        <f>SUM(D96:D97)</f>
        <v>437424</v>
      </c>
    </row>
    <row r="96" spans="1:6" s="20" customFormat="1" ht="27.75" customHeight="1">
      <c r="A96" s="29" t="s">
        <v>168</v>
      </c>
      <c r="B96" s="30" t="s">
        <v>164</v>
      </c>
      <c r="C96" s="38">
        <f>360000-159398</f>
        <v>200602</v>
      </c>
      <c r="D96" s="38">
        <f>360000+30000-152576</f>
        <v>237424</v>
      </c>
      <c r="F96" s="21"/>
    </row>
    <row r="97" spans="1:6" s="20" customFormat="1" ht="27.75" customHeight="1">
      <c r="A97" s="29" t="s">
        <v>183</v>
      </c>
      <c r="B97" s="30" t="s">
        <v>179</v>
      </c>
      <c r="C97" s="38">
        <v>200000</v>
      </c>
      <c r="D97" s="38">
        <v>200000</v>
      </c>
      <c r="F97" s="21"/>
    </row>
    <row r="98" spans="1:4" s="6" customFormat="1" ht="27.75" customHeight="1">
      <c r="A98" s="26" t="s">
        <v>184</v>
      </c>
      <c r="B98" s="27" t="s">
        <v>155</v>
      </c>
      <c r="C98" s="28">
        <f>SUM(C99)</f>
        <v>30000</v>
      </c>
      <c r="D98" s="28">
        <f>SUM(D99)</f>
        <v>60700</v>
      </c>
    </row>
    <row r="99" spans="1:6" s="20" customFormat="1" ht="26.25" customHeight="1">
      <c r="A99" s="29" t="s">
        <v>185</v>
      </c>
      <c r="B99" s="30" t="s">
        <v>157</v>
      </c>
      <c r="C99" s="38">
        <v>30000</v>
      </c>
      <c r="D99" s="38">
        <f>59000+1700</f>
        <v>60700</v>
      </c>
      <c r="F99" s="21"/>
    </row>
  </sheetData>
  <mergeCells count="8">
    <mergeCell ref="C1:D1"/>
    <mergeCell ref="A4:D4"/>
    <mergeCell ref="A9:B9"/>
    <mergeCell ref="A10:B10"/>
    <mergeCell ref="A3:D3"/>
    <mergeCell ref="A6:A7"/>
    <mergeCell ref="B6:B7"/>
    <mergeCell ref="C6:D6"/>
  </mergeCells>
  <printOptions/>
  <pageMargins left="0.984251968503937" right="0.984251968503937" top="0.8661417322834646" bottom="0.984251968503937" header="0.5118110236220472" footer="0.5118110236220472"/>
  <pageSetup firstPageNumber="28" useFirstPageNumber="1" horizontalDpi="600" verticalDpi="600" orientation="portrait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esakowska</cp:lastModifiedBy>
  <cp:lastPrinted>2010-12-16T03:11:30Z</cp:lastPrinted>
  <dcterms:created xsi:type="dcterms:W3CDTF">2010-12-21T11:23:01Z</dcterms:created>
  <dcterms:modified xsi:type="dcterms:W3CDTF">2010-12-22T11:25:27Z</dcterms:modified>
  <cp:category/>
  <cp:version/>
  <cp:contentType/>
  <cp:contentStatus/>
</cp:coreProperties>
</file>